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omments2.xml" ContentType="application/vnd.openxmlformats-officedocument.spreadsheetml.comments+xml"/>
  <Override PartName="/xl/threadedComments/threadedComment1.xml" ContentType="application/vnd.ms-excel.threadedcomments+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customProperty1.bin" ContentType="application/vnd.openxmlformats-officedocument.spreadsheetml.customProperty"/>
  <Override PartName="/xl/drawings/drawing41.xml" ContentType="application/vnd.openxmlformats-officedocument.drawing+xml"/>
  <Override PartName="/xl/customProperty2.bin" ContentType="application/vnd.openxmlformats-officedocument.spreadsheetml.customProperty"/>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showInkAnnotation="0" hidePivotFieldList="1" defaultThemeVersion="166925"/>
  <mc:AlternateContent xmlns:mc="http://schemas.openxmlformats.org/markup-compatibility/2006">
    <mc:Choice Requires="x15">
      <x15ac:absPath xmlns:x15ac="http://schemas.microsoft.com/office/spreadsheetml/2010/11/ac" url="H:\Office\"/>
    </mc:Choice>
  </mc:AlternateContent>
  <xr:revisionPtr revIDLastSave="0" documentId="13_ncr:1_{21F25629-C9F1-4D4F-B7E4-9D7F9A1AD14B}" xr6:coauthVersionLast="47" xr6:coauthVersionMax="47" xr10:uidLastSave="{00000000-0000-0000-0000-000000000000}"/>
  <bookViews>
    <workbookView xWindow="-120" yWindow="-120" windowWidth="29040" windowHeight="15720" tabRatio="919" firstSheet="2" activeTab="2" xr2:uid="{62F7892E-E945-458C-A178-10207D4B9954}"/>
  </bookViews>
  <sheets>
    <sheet name="Team Identity Card" sheetId="53" r:id="rId1"/>
    <sheet name="Project Sum" sheetId="54" state="hidden" r:id="rId2"/>
    <sheet name="Sustainability Dashboard" sheetId="12" r:id="rId3"/>
    <sheet name="Graphical Dashboard -F" sheetId="50" r:id="rId4"/>
    <sheet name="RRR" sheetId="51" state="hidden" r:id="rId5"/>
    <sheet name="Month" sheetId="52" state="hidden" r:id="rId6"/>
    <sheet name="Dashboard Data" sheetId="47" state="hidden" r:id="rId7"/>
    <sheet name="Data Entry CheckList" sheetId="19" r:id="rId8"/>
    <sheet name="Sustainability Performance" sheetId="15" r:id="rId9"/>
    <sheet name="Production" sheetId="17" r:id="rId10"/>
    <sheet name="People" sheetId="2" r:id="rId11"/>
    <sheet name="Climate" sheetId="3" r:id="rId12"/>
    <sheet name="Water-Sum" sheetId="4" r:id="rId13"/>
    <sheet name="GHG calculations" sheetId="14" r:id="rId14"/>
    <sheet name="Waste" sheetId="6" r:id="rId15"/>
    <sheet name="Energy" sheetId="5" r:id="rId16"/>
    <sheet name="Product" sheetId="7" r:id="rId17"/>
    <sheet name="Material" sheetId="9" r:id="rId18"/>
    <sheet name="Packaging" sheetId="8" r:id="rId19"/>
    <sheet name="Environmental-Grievance" sheetId="16" r:id="rId20"/>
    <sheet name="Environmental Cost" sheetId="10" r:id="rId21"/>
    <sheet name="Impacts" sheetId="11" r:id="rId22"/>
    <sheet name="Cat-1" sheetId="21" r:id="rId23"/>
    <sheet name="Cat-2" sheetId="22" r:id="rId24"/>
    <sheet name="Cat-3" sheetId="23" r:id="rId25"/>
    <sheet name="Cat-4" sheetId="24" r:id="rId26"/>
    <sheet name="Total" sheetId="25" r:id="rId27"/>
    <sheet name="Fuel for Shuttle Micro" sheetId="26" r:id="rId28"/>
    <sheet name="Diesel " sheetId="27" r:id="rId29"/>
    <sheet name="Electricity" sheetId="28" r:id="rId30"/>
    <sheet name="Gas" sheetId="29" r:id="rId31"/>
    <sheet name="Water" sheetId="30" r:id="rId32"/>
    <sheet name="Solar Generation" sheetId="39" r:id="rId33"/>
    <sheet name="Business Travel" sheetId="31" r:id="rId34"/>
    <sheet name="Import Data" sheetId="32" r:id="rId35"/>
    <sheet name="Export Data" sheetId="33" r:id="rId36"/>
    <sheet name="Wastage Raw Data" sheetId="34" r:id="rId37"/>
    <sheet name="Segregated wastage" sheetId="35" r:id="rId38"/>
    <sheet name="Food Wastage" sheetId="36" r:id="rId39"/>
    <sheet name="Rain water Collection" sheetId="41" r:id="rId40"/>
    <sheet name="Recycle Water" sheetId="40" r:id="rId41"/>
    <sheet name="Production-Ciospi" sheetId="37" r:id="rId42"/>
    <sheet name="Packaging Raw Data File" sheetId="46" r:id="rId43"/>
    <sheet name="Material Consumption" sheetId="44" r:id="rId44"/>
    <sheet name="Chemical Consumption" sheetId="43" r:id="rId45"/>
    <sheet name="Recyclable Material" sheetId="42" r:id="rId46"/>
    <sheet name="Purchased Materials" sheetId="45" r:id="rId47"/>
  </sheets>
  <definedNames>
    <definedName name="_xlnm.Print_Area" localSheetId="31">Water!$C$3:$V$39</definedName>
    <definedName name="_xlnm.Print_Titles" localSheetId="0">'Team Identity Card'!$1:$7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9" i="15" l="1"/>
  <c r="E33" i="36"/>
  <c r="I36" i="23"/>
  <c r="I37" i="23"/>
  <c r="I38" i="23"/>
  <c r="I39" i="23"/>
  <c r="I40" i="23"/>
  <c r="I41" i="23"/>
  <c r="G21" i="23"/>
  <c r="G22" i="23"/>
  <c r="G23" i="23"/>
  <c r="G24" i="23"/>
  <c r="G25" i="23"/>
  <c r="G26" i="23"/>
  <c r="G27" i="23"/>
  <c r="I6" i="23"/>
  <c r="I7" i="23"/>
  <c r="I8" i="23"/>
  <c r="I9" i="23"/>
  <c r="I10" i="23"/>
  <c r="I11" i="23"/>
  <c r="F14" i="10"/>
  <c r="F23" i="10"/>
  <c r="G26" i="10"/>
  <c r="G35" i="10"/>
  <c r="F32" i="10"/>
  <c r="F41" i="10"/>
  <c r="F50" i="10"/>
  <c r="F59" i="10"/>
  <c r="F68" i="10"/>
  <c r="F77" i="10"/>
  <c r="G81" i="10"/>
  <c r="F86" i="10"/>
  <c r="F95" i="10"/>
  <c r="F104" i="10"/>
  <c r="F113" i="10"/>
  <c r="O28" i="44"/>
  <c r="D41" i="46"/>
  <c r="F32" i="21"/>
  <c r="F27" i="21"/>
  <c r="D32" i="21"/>
  <c r="D30" i="21"/>
  <c r="D26" i="21"/>
  <c r="AC37" i="34"/>
  <c r="O8" i="35"/>
  <c r="O9" i="35"/>
  <c r="O10" i="35"/>
  <c r="O11" i="35"/>
  <c r="O12" i="35"/>
  <c r="O13" i="35"/>
  <c r="O14" i="35"/>
  <c r="O15" i="35"/>
  <c r="O16" i="35"/>
  <c r="O17" i="35"/>
  <c r="O7" i="35"/>
  <c r="I147" i="23"/>
  <c r="I148" i="23"/>
  <c r="I149" i="23"/>
  <c r="I150" i="23"/>
  <c r="I151" i="23"/>
  <c r="I152" i="23"/>
  <c r="I153" i="23"/>
  <c r="I117" i="23"/>
  <c r="H162" i="23"/>
  <c r="V73" i="46"/>
  <c r="U73" i="46"/>
  <c r="D137" i="21"/>
  <c r="AA28" i="37"/>
  <c r="AA27" i="37"/>
  <c r="Z38" i="37"/>
  <c r="Z37" i="37"/>
  <c r="Z36" i="37"/>
  <c r="Z35" i="37"/>
  <c r="Z34" i="37"/>
  <c r="Z33" i="37"/>
  <c r="Z32" i="37"/>
  <c r="Z31" i="37"/>
  <c r="Z30" i="37"/>
  <c r="Z29" i="37"/>
  <c r="Z28" i="37"/>
  <c r="Z27" i="37"/>
  <c r="F27" i="37"/>
  <c r="N55" i="11"/>
  <c r="N139" i="11"/>
  <c r="P49" i="46"/>
  <c r="O16" i="44"/>
  <c r="AC34" i="34" l="1"/>
  <c r="B3" i="54" l="1"/>
  <c r="B4" i="54"/>
  <c r="B5" i="54"/>
  <c r="B6" i="54"/>
  <c r="B7" i="54"/>
  <c r="B8" i="54"/>
  <c r="B2" i="54"/>
  <c r="K47" i="8" l="1"/>
  <c r="K38" i="8"/>
  <c r="K39" i="8"/>
  <c r="K40" i="8"/>
  <c r="K41" i="8"/>
  <c r="K42" i="8"/>
  <c r="K43" i="8"/>
  <c r="K44" i="8"/>
  <c r="K45" i="8"/>
  <c r="K46" i="8"/>
  <c r="K37" i="8"/>
  <c r="K36" i="8"/>
  <c r="D49" i="8"/>
  <c r="C49" i="8"/>
  <c r="D48" i="8"/>
  <c r="C48" i="8"/>
  <c r="K48" i="8" l="1"/>
  <c r="K49" i="8"/>
  <c r="D54" i="47" l="1"/>
  <c r="D53" i="47"/>
  <c r="D52" i="47"/>
  <c r="I188" i="51" s="1"/>
  <c r="M128" i="47" l="1"/>
  <c r="M129" i="47" s="1"/>
  <c r="L128" i="47"/>
  <c r="L129" i="47" s="1"/>
  <c r="K128" i="47"/>
  <c r="K129" i="47" s="1"/>
  <c r="M126" i="47"/>
  <c r="L126" i="47"/>
  <c r="K126" i="47"/>
  <c r="M116" i="47"/>
  <c r="M117" i="47" s="1"/>
  <c r="L116" i="47"/>
  <c r="L117" i="47" s="1"/>
  <c r="K116" i="47"/>
  <c r="K117" i="47" s="1"/>
  <c r="M114" i="47"/>
  <c r="L114" i="47"/>
  <c r="K114" i="47"/>
  <c r="M103" i="47" l="1"/>
  <c r="M104" i="47" s="1"/>
  <c r="L103" i="47"/>
  <c r="L104" i="47" s="1"/>
  <c r="K103" i="47"/>
  <c r="K104" i="47" s="1"/>
  <c r="M101" i="47"/>
  <c r="L101" i="47"/>
  <c r="K101" i="47"/>
  <c r="M90" i="47"/>
  <c r="M91" i="47" s="1"/>
  <c r="L90" i="47"/>
  <c r="L91" i="47" s="1"/>
  <c r="K90" i="47"/>
  <c r="K91" i="47" s="1"/>
  <c r="M88" i="47"/>
  <c r="L88" i="47"/>
  <c r="K88" i="47"/>
  <c r="M73" i="47"/>
  <c r="M74" i="47" s="1"/>
  <c r="L73" i="47"/>
  <c r="L74" i="47" s="1"/>
  <c r="K73" i="47"/>
  <c r="K74" i="47" s="1"/>
  <c r="M71" i="47"/>
  <c r="L71" i="47"/>
  <c r="K71" i="47"/>
  <c r="M40" i="47" l="1"/>
  <c r="M41" i="47" s="1"/>
  <c r="L40" i="47"/>
  <c r="L41" i="47" s="1"/>
  <c r="K40" i="47"/>
  <c r="K41" i="47" s="1"/>
  <c r="M38" i="47"/>
  <c r="L38" i="47"/>
  <c r="K38" i="47"/>
  <c r="M24" i="47"/>
  <c r="M25" i="47" s="1"/>
  <c r="L24" i="47"/>
  <c r="L25" i="47" s="1"/>
  <c r="K24" i="47"/>
  <c r="K25" i="47" s="1"/>
  <c r="M22" i="47"/>
  <c r="L22" i="47"/>
  <c r="K22" i="47"/>
  <c r="K7" i="47" l="1"/>
  <c r="K8" i="47" s="1"/>
  <c r="M7" i="47"/>
  <c r="M8" i="47" s="1"/>
  <c r="L7" i="47"/>
  <c r="L8" i="47" s="1"/>
  <c r="M5" i="47"/>
  <c r="L5" i="47"/>
  <c r="K5" i="47"/>
  <c r="N153" i="11" l="1"/>
  <c r="M153" i="11"/>
  <c r="L153" i="11"/>
  <c r="K153" i="11"/>
  <c r="J153" i="11"/>
  <c r="I153" i="11"/>
  <c r="H153" i="11"/>
  <c r="G153" i="11"/>
  <c r="F153" i="11"/>
  <c r="E153" i="11"/>
  <c r="D153" i="11"/>
  <c r="C153" i="11"/>
  <c r="N146" i="11"/>
  <c r="M146" i="11"/>
  <c r="L146" i="11"/>
  <c r="K146" i="11"/>
  <c r="J146" i="11"/>
  <c r="I146" i="11"/>
  <c r="H146" i="11"/>
  <c r="G146" i="11"/>
  <c r="F146" i="11"/>
  <c r="E146" i="11"/>
  <c r="D146" i="11"/>
  <c r="C146" i="11"/>
  <c r="M139" i="11"/>
  <c r="L139" i="11"/>
  <c r="K139" i="11"/>
  <c r="J139" i="11"/>
  <c r="I139" i="11"/>
  <c r="H139" i="11"/>
  <c r="G139" i="11"/>
  <c r="E139" i="11"/>
  <c r="D139" i="11"/>
  <c r="F139" i="11"/>
  <c r="N120" i="11"/>
  <c r="M120" i="11"/>
  <c r="L120" i="11"/>
  <c r="K120" i="11"/>
  <c r="J120" i="11"/>
  <c r="I120" i="11"/>
  <c r="H120" i="11"/>
  <c r="G120" i="11"/>
  <c r="F120" i="11"/>
  <c r="E120" i="11"/>
  <c r="D120" i="11"/>
  <c r="C120" i="11"/>
  <c r="Z104" i="11"/>
  <c r="Y104" i="11"/>
  <c r="X104" i="11"/>
  <c r="W104" i="11"/>
  <c r="U104" i="11"/>
  <c r="S104" i="11"/>
  <c r="Q104" i="11"/>
  <c r="P104" i="11"/>
  <c r="O104" i="11"/>
  <c r="M104" i="11"/>
  <c r="K104" i="11"/>
  <c r="I104" i="11"/>
  <c r="G104" i="11"/>
  <c r="E104" i="11"/>
  <c r="C104" i="11"/>
  <c r="V104" i="11"/>
  <c r="R104" i="11"/>
  <c r="N104" i="11"/>
  <c r="L104" i="11"/>
  <c r="J104" i="11"/>
  <c r="H104" i="11"/>
  <c r="F104" i="11"/>
  <c r="D104" i="11"/>
  <c r="O87" i="15"/>
  <c r="N87" i="15"/>
  <c r="M87" i="15"/>
  <c r="L87" i="15"/>
  <c r="K87" i="15"/>
  <c r="J87" i="15"/>
  <c r="I87" i="15"/>
  <c r="H87" i="15"/>
  <c r="G87" i="15"/>
  <c r="F87" i="15"/>
  <c r="E87" i="15"/>
  <c r="D87" i="15"/>
  <c r="O85" i="15"/>
  <c r="N85" i="15"/>
  <c r="M85" i="15"/>
  <c r="L85" i="15"/>
  <c r="K85" i="15"/>
  <c r="J85" i="15"/>
  <c r="I85" i="15"/>
  <c r="H85" i="15"/>
  <c r="G85" i="15"/>
  <c r="F85" i="15"/>
  <c r="E85" i="15"/>
  <c r="D85" i="15"/>
  <c r="C139" i="11" l="1"/>
  <c r="T104" i="11"/>
  <c r="H230" i="10"/>
  <c r="G230" i="10"/>
  <c r="F230" i="10"/>
  <c r="H221" i="10"/>
  <c r="G221" i="10"/>
  <c r="F221" i="10"/>
  <c r="H212" i="10"/>
  <c r="G212" i="10"/>
  <c r="F212" i="10"/>
  <c r="H203" i="10"/>
  <c r="G203" i="10"/>
  <c r="F203" i="10"/>
  <c r="H194" i="10"/>
  <c r="G194" i="10"/>
  <c r="F194" i="10"/>
  <c r="H185" i="10"/>
  <c r="G185" i="10"/>
  <c r="F185" i="10"/>
  <c r="H176" i="10"/>
  <c r="G176" i="10"/>
  <c r="F176" i="10"/>
  <c r="H167" i="10"/>
  <c r="G167" i="10"/>
  <c r="F167" i="10"/>
  <c r="H149" i="10"/>
  <c r="G149" i="10"/>
  <c r="F149" i="10"/>
  <c r="H158" i="10"/>
  <c r="G158" i="10"/>
  <c r="F158" i="10"/>
  <c r="H140" i="10"/>
  <c r="G140" i="10"/>
  <c r="F140" i="10"/>
  <c r="H131" i="10"/>
  <c r="G131" i="10"/>
  <c r="F131" i="10"/>
  <c r="F116" i="46"/>
  <c r="D131" i="46" s="1"/>
  <c r="F115" i="46"/>
  <c r="D130" i="46" s="1"/>
  <c r="E130" i="46" s="1"/>
  <c r="H46" i="8" s="1"/>
  <c r="F114" i="46"/>
  <c r="D129" i="46" s="1"/>
  <c r="F129" i="46" s="1"/>
  <c r="G45" i="8" s="1"/>
  <c r="F113" i="46"/>
  <c r="F112" i="46"/>
  <c r="F111" i="46"/>
  <c r="D126" i="46" s="1"/>
  <c r="F110" i="46"/>
  <c r="D125" i="46" s="1"/>
  <c r="F125" i="46" s="1"/>
  <c r="G41" i="8" s="1"/>
  <c r="F109" i="46"/>
  <c r="F108" i="46"/>
  <c r="F107" i="46"/>
  <c r="D122" i="46" s="1"/>
  <c r="F122" i="46" s="1"/>
  <c r="G38" i="8" s="1"/>
  <c r="F106" i="46"/>
  <c r="D121" i="46" s="1"/>
  <c r="F121" i="46" s="1"/>
  <c r="G37" i="8" s="1"/>
  <c r="F105" i="46"/>
  <c r="Q100" i="46"/>
  <c r="N100" i="46"/>
  <c r="K100" i="46"/>
  <c r="F100" i="46"/>
  <c r="Q99" i="46"/>
  <c r="N99" i="46"/>
  <c r="K99" i="46"/>
  <c r="F99" i="46"/>
  <c r="Q98" i="46"/>
  <c r="N98" i="46"/>
  <c r="K98" i="46"/>
  <c r="F98" i="46"/>
  <c r="Q97" i="46"/>
  <c r="N97" i="46"/>
  <c r="K97" i="46"/>
  <c r="F97" i="46"/>
  <c r="Q96" i="46"/>
  <c r="N96" i="46"/>
  <c r="K96" i="46"/>
  <c r="F96" i="46"/>
  <c r="Q95" i="46"/>
  <c r="N95" i="46"/>
  <c r="K95" i="46"/>
  <c r="F95" i="46"/>
  <c r="Q94" i="46"/>
  <c r="N94" i="46"/>
  <c r="K94" i="46"/>
  <c r="F94" i="46"/>
  <c r="AB93" i="46"/>
  <c r="Q93" i="46"/>
  <c r="N93" i="46"/>
  <c r="K93" i="46"/>
  <c r="F93" i="46"/>
  <c r="AB92" i="46"/>
  <c r="Q92" i="46"/>
  <c r="N92" i="46"/>
  <c r="K92" i="46"/>
  <c r="F92" i="46"/>
  <c r="AB91" i="46"/>
  <c r="Q91" i="46"/>
  <c r="N91" i="46"/>
  <c r="K91" i="46"/>
  <c r="F91" i="46"/>
  <c r="Q90" i="46"/>
  <c r="N90" i="46"/>
  <c r="K90" i="46"/>
  <c r="F90" i="46"/>
  <c r="AB89" i="46"/>
  <c r="Q89" i="46"/>
  <c r="N89" i="46"/>
  <c r="K89" i="46"/>
  <c r="F89" i="46"/>
  <c r="Q84" i="46"/>
  <c r="O84" i="46"/>
  <c r="M84" i="46"/>
  <c r="I84" i="46"/>
  <c r="F84" i="46"/>
  <c r="Q83" i="46"/>
  <c r="O83" i="46"/>
  <c r="M83" i="46"/>
  <c r="I83" i="46"/>
  <c r="F83" i="46"/>
  <c r="Q82" i="46"/>
  <c r="O82" i="46"/>
  <c r="M82" i="46"/>
  <c r="I82" i="46"/>
  <c r="F82" i="46"/>
  <c r="Q81" i="46"/>
  <c r="O81" i="46"/>
  <c r="M81" i="46"/>
  <c r="I81" i="46"/>
  <c r="F81" i="46"/>
  <c r="Q80" i="46"/>
  <c r="O80" i="46"/>
  <c r="M80" i="46"/>
  <c r="I80" i="46"/>
  <c r="F80" i="46"/>
  <c r="J80" i="46" s="1"/>
  <c r="Q79" i="46"/>
  <c r="O79" i="46"/>
  <c r="M79" i="46"/>
  <c r="I79" i="46"/>
  <c r="F79" i="46"/>
  <c r="Q78" i="46"/>
  <c r="O78" i="46"/>
  <c r="M78" i="46"/>
  <c r="I78" i="46"/>
  <c r="F78" i="46"/>
  <c r="Q77" i="46"/>
  <c r="O77" i="46"/>
  <c r="M77" i="46"/>
  <c r="I77" i="46"/>
  <c r="F77" i="46"/>
  <c r="Q76" i="46"/>
  <c r="O76" i="46"/>
  <c r="M76" i="46"/>
  <c r="I76" i="46"/>
  <c r="F76" i="46"/>
  <c r="Q75" i="46"/>
  <c r="O75" i="46"/>
  <c r="M75" i="46"/>
  <c r="I75" i="46"/>
  <c r="F75" i="46"/>
  <c r="Q74" i="46"/>
  <c r="O74" i="46"/>
  <c r="M74" i="46"/>
  <c r="I74" i="46"/>
  <c r="F74" i="46"/>
  <c r="J74" i="46" s="1"/>
  <c r="Q73" i="46"/>
  <c r="O73" i="46"/>
  <c r="M73" i="46"/>
  <c r="I73" i="46"/>
  <c r="F73" i="46"/>
  <c r="I18" i="8"/>
  <c r="I9" i="8"/>
  <c r="I10" i="8"/>
  <c r="I11" i="8"/>
  <c r="I12" i="8"/>
  <c r="I13" i="8"/>
  <c r="I14" i="8"/>
  <c r="I15" i="8"/>
  <c r="I16" i="8"/>
  <c r="I17" i="8"/>
  <c r="I8" i="8"/>
  <c r="I7" i="8"/>
  <c r="F49" i="46"/>
  <c r="F48" i="46"/>
  <c r="D63" i="46" s="1"/>
  <c r="F47" i="46"/>
  <c r="D62" i="46" s="1"/>
  <c r="F46" i="46"/>
  <c r="D61" i="46" s="1"/>
  <c r="F45" i="46"/>
  <c r="D60" i="46" s="1"/>
  <c r="F44" i="46"/>
  <c r="D59" i="46" s="1"/>
  <c r="F59" i="46" s="1"/>
  <c r="D13" i="8" s="1"/>
  <c r="P43" i="46"/>
  <c r="F43" i="46"/>
  <c r="D58" i="46" s="1"/>
  <c r="F58" i="46" s="1"/>
  <c r="D12" i="8" s="1"/>
  <c r="F42" i="46"/>
  <c r="D57" i="46" s="1"/>
  <c r="F41" i="46"/>
  <c r="D56" i="46" s="1"/>
  <c r="F40" i="46"/>
  <c r="D55" i="46" s="1"/>
  <c r="F55" i="46" s="1"/>
  <c r="D9" i="8" s="1"/>
  <c r="F39" i="46"/>
  <c r="D54" i="46" s="1"/>
  <c r="F38" i="46"/>
  <c r="D53" i="46" s="1"/>
  <c r="F53" i="46" s="1"/>
  <c r="D7" i="8" s="1"/>
  <c r="Q33" i="46"/>
  <c r="N33" i="46"/>
  <c r="K33" i="46"/>
  <c r="F33" i="46"/>
  <c r="Q32" i="46"/>
  <c r="N32" i="46"/>
  <c r="K32" i="46"/>
  <c r="F32" i="46"/>
  <c r="Q31" i="46"/>
  <c r="N31" i="46"/>
  <c r="K31" i="46"/>
  <c r="F31" i="46"/>
  <c r="Q30" i="46"/>
  <c r="N30" i="46"/>
  <c r="K30" i="46"/>
  <c r="F30" i="46"/>
  <c r="Q29" i="46"/>
  <c r="N29" i="46"/>
  <c r="K29" i="46"/>
  <c r="F29" i="46"/>
  <c r="Q28" i="46"/>
  <c r="N28" i="46"/>
  <c r="K28" i="46"/>
  <c r="F28" i="46"/>
  <c r="Q27" i="46"/>
  <c r="N27" i="46"/>
  <c r="K27" i="46"/>
  <c r="F27" i="46"/>
  <c r="AB26" i="46"/>
  <c r="Q26" i="46"/>
  <c r="N26" i="46"/>
  <c r="K26" i="46"/>
  <c r="F26" i="46"/>
  <c r="AB25" i="46"/>
  <c r="Q25" i="46"/>
  <c r="N25" i="46"/>
  <c r="K25" i="46"/>
  <c r="F25" i="46"/>
  <c r="AB24" i="46"/>
  <c r="Q24" i="46"/>
  <c r="N24" i="46"/>
  <c r="K24" i="46"/>
  <c r="F24" i="46"/>
  <c r="Q23" i="46"/>
  <c r="N23" i="46"/>
  <c r="K23" i="46"/>
  <c r="F23" i="46"/>
  <c r="AB22" i="46"/>
  <c r="Q22" i="46"/>
  <c r="N22" i="46"/>
  <c r="K22" i="46"/>
  <c r="F22" i="46"/>
  <c r="Q17" i="46"/>
  <c r="O17" i="46"/>
  <c r="M17" i="46"/>
  <c r="I17" i="46"/>
  <c r="F17" i="46"/>
  <c r="Q16" i="46"/>
  <c r="O16" i="46"/>
  <c r="M16" i="46"/>
  <c r="I16" i="46"/>
  <c r="F16" i="46"/>
  <c r="Q15" i="46"/>
  <c r="O15" i="46"/>
  <c r="M15" i="46"/>
  <c r="I15" i="46"/>
  <c r="F15" i="46"/>
  <c r="Q14" i="46"/>
  <c r="O14" i="46"/>
  <c r="M14" i="46"/>
  <c r="I14" i="46"/>
  <c r="F14" i="46"/>
  <c r="Q13" i="46"/>
  <c r="O13" i="46"/>
  <c r="M13" i="46"/>
  <c r="I13" i="46"/>
  <c r="F13" i="46"/>
  <c r="Q12" i="46"/>
  <c r="O12" i="46"/>
  <c r="M12" i="46"/>
  <c r="I12" i="46"/>
  <c r="F12" i="46"/>
  <c r="Q11" i="46"/>
  <c r="O11" i="46"/>
  <c r="M11" i="46"/>
  <c r="I11" i="46"/>
  <c r="F11" i="46"/>
  <c r="Q10" i="46"/>
  <c r="O10" i="46"/>
  <c r="M10" i="46"/>
  <c r="I10" i="46"/>
  <c r="F10" i="46"/>
  <c r="Q9" i="46"/>
  <c r="O9" i="46"/>
  <c r="M9" i="46"/>
  <c r="I9" i="46"/>
  <c r="F9" i="46"/>
  <c r="Q8" i="46"/>
  <c r="O8" i="46"/>
  <c r="M8" i="46"/>
  <c r="I8" i="46"/>
  <c r="F8" i="46"/>
  <c r="Q7" i="46"/>
  <c r="O7" i="46"/>
  <c r="M7" i="46"/>
  <c r="I7" i="46"/>
  <c r="F7" i="46"/>
  <c r="Q6" i="46"/>
  <c r="O6" i="46"/>
  <c r="M6" i="46"/>
  <c r="I6" i="46"/>
  <c r="F6" i="46"/>
  <c r="J6" i="46" s="1"/>
  <c r="R73" i="46" l="1"/>
  <c r="T73" i="46" s="1"/>
  <c r="J75" i="46"/>
  <c r="J77" i="46"/>
  <c r="R80" i="46"/>
  <c r="T80" i="46" s="1"/>
  <c r="R81" i="46"/>
  <c r="T81" i="46" s="1"/>
  <c r="J83" i="46"/>
  <c r="R84" i="46"/>
  <c r="T84" i="46" s="1"/>
  <c r="R91" i="46"/>
  <c r="I38" i="8" s="1"/>
  <c r="R92" i="46"/>
  <c r="I39" i="8" s="1"/>
  <c r="R100" i="46"/>
  <c r="I47" i="8" s="1"/>
  <c r="R97" i="46"/>
  <c r="I44" i="8" s="1"/>
  <c r="R93" i="46"/>
  <c r="I40" i="8" s="1"/>
  <c r="R98" i="46"/>
  <c r="I45" i="8" s="1"/>
  <c r="R89" i="46"/>
  <c r="I36" i="8" s="1"/>
  <c r="R90" i="46"/>
  <c r="I37" i="8" s="1"/>
  <c r="R99" i="46"/>
  <c r="I46" i="8" s="1"/>
  <c r="R95" i="46"/>
  <c r="I42" i="8" s="1"/>
  <c r="R94" i="46"/>
  <c r="I41" i="8" s="1"/>
  <c r="R96" i="46"/>
  <c r="I43" i="8" s="1"/>
  <c r="R78" i="46"/>
  <c r="T78" i="46" s="1"/>
  <c r="R79" i="46"/>
  <c r="T79" i="46" s="1"/>
  <c r="R75" i="46"/>
  <c r="T75" i="46" s="1"/>
  <c r="U75" i="46" s="1"/>
  <c r="V75" i="46" s="1"/>
  <c r="R83" i="46"/>
  <c r="T83" i="46" s="1"/>
  <c r="U83" i="46" s="1"/>
  <c r="V83" i="46" s="1"/>
  <c r="R77" i="46"/>
  <c r="T77" i="46" s="1"/>
  <c r="U77" i="46" s="1"/>
  <c r="V77" i="46" s="1"/>
  <c r="R74" i="46"/>
  <c r="T74" i="46" s="1"/>
  <c r="U74" i="46" s="1"/>
  <c r="V74" i="46" s="1"/>
  <c r="R82" i="46"/>
  <c r="T82" i="46" s="1"/>
  <c r="R76" i="46"/>
  <c r="T76" i="46" s="1"/>
  <c r="J82" i="46"/>
  <c r="J76" i="46"/>
  <c r="J84" i="46"/>
  <c r="U84" i="46" s="1"/>
  <c r="J78" i="46"/>
  <c r="J79" i="46"/>
  <c r="J73" i="46"/>
  <c r="J81" i="46"/>
  <c r="U81" i="46" s="1"/>
  <c r="D123" i="46"/>
  <c r="U80" i="46"/>
  <c r="V80" i="46" s="1"/>
  <c r="E131" i="46"/>
  <c r="H47" i="8" s="1"/>
  <c r="F131" i="46"/>
  <c r="G47" i="8" s="1"/>
  <c r="E126" i="46"/>
  <c r="H42" i="8" s="1"/>
  <c r="F126" i="46"/>
  <c r="G42" i="8" s="1"/>
  <c r="M42" i="8" s="1"/>
  <c r="E121" i="46"/>
  <c r="H37" i="8" s="1"/>
  <c r="M37" i="8" s="1"/>
  <c r="D124" i="46"/>
  <c r="E129" i="46"/>
  <c r="H45" i="8" s="1"/>
  <c r="M45" i="8" s="1"/>
  <c r="D127" i="46"/>
  <c r="E122" i="46"/>
  <c r="H38" i="8" s="1"/>
  <c r="M38" i="8" s="1"/>
  <c r="D120" i="46"/>
  <c r="E125" i="46"/>
  <c r="H41" i="8" s="1"/>
  <c r="M41" i="8" s="1"/>
  <c r="D128" i="46"/>
  <c r="F130" i="46"/>
  <c r="G46" i="8" s="1"/>
  <c r="M46" i="8" s="1"/>
  <c r="J14" i="46"/>
  <c r="J11" i="46"/>
  <c r="J10" i="46"/>
  <c r="J12" i="46"/>
  <c r="R24" i="46"/>
  <c r="G9" i="8" s="1"/>
  <c r="R31" i="46"/>
  <c r="G16" i="8" s="1"/>
  <c r="R10" i="46"/>
  <c r="T10" i="46" s="1"/>
  <c r="U10" i="46" s="1"/>
  <c r="V10" i="46" s="1"/>
  <c r="R27" i="46"/>
  <c r="R9" i="46"/>
  <c r="T9" i="46" s="1"/>
  <c r="R17" i="46"/>
  <c r="T17" i="46" s="1"/>
  <c r="R30" i="46"/>
  <c r="G15" i="8" s="1"/>
  <c r="J9" i="46"/>
  <c r="J17" i="46"/>
  <c r="F63" i="46"/>
  <c r="D17" i="8" s="1"/>
  <c r="E63" i="46"/>
  <c r="E17" i="8" s="1"/>
  <c r="R6" i="46"/>
  <c r="T6" i="46" s="1"/>
  <c r="U6" i="46" s="1"/>
  <c r="V6" i="46" s="1"/>
  <c r="R14" i="46"/>
  <c r="T14" i="46" s="1"/>
  <c r="U14" i="46" s="1"/>
  <c r="V14" i="46" s="1"/>
  <c r="Y14" i="46" s="1"/>
  <c r="C15" i="8" s="1"/>
  <c r="R26" i="46"/>
  <c r="G11" i="8" s="1"/>
  <c r="E55" i="46"/>
  <c r="E9" i="8" s="1"/>
  <c r="R11" i="46"/>
  <c r="T11" i="46" s="1"/>
  <c r="U11" i="46" s="1"/>
  <c r="V11" i="46" s="1"/>
  <c r="J7" i="46"/>
  <c r="R8" i="46"/>
  <c r="T8" i="46" s="1"/>
  <c r="J15" i="46"/>
  <c r="R16" i="46"/>
  <c r="T16" i="46" s="1"/>
  <c r="R28" i="46"/>
  <c r="G13" i="8" s="1"/>
  <c r="J13" i="46"/>
  <c r="R23" i="46"/>
  <c r="G8" i="8" s="1"/>
  <c r="R13" i="46"/>
  <c r="T13" i="46" s="1"/>
  <c r="R25" i="46"/>
  <c r="G10" i="8" s="1"/>
  <c r="R32" i="46"/>
  <c r="G17" i="8" s="1"/>
  <c r="R33" i="46"/>
  <c r="G18" i="8" s="1"/>
  <c r="R22" i="46"/>
  <c r="G7" i="8" s="1"/>
  <c r="R7" i="46"/>
  <c r="T7" i="46" s="1"/>
  <c r="U7" i="46" s="1"/>
  <c r="V7" i="46" s="1"/>
  <c r="R15" i="46"/>
  <c r="T15" i="46" s="1"/>
  <c r="J8" i="46"/>
  <c r="R12" i="46"/>
  <c r="T12" i="46" s="1"/>
  <c r="U12" i="46" s="1"/>
  <c r="V12" i="46" s="1"/>
  <c r="J16" i="46"/>
  <c r="R29" i="46"/>
  <c r="G14" i="8" s="1"/>
  <c r="F60" i="46"/>
  <c r="D14" i="8" s="1"/>
  <c r="E60" i="46"/>
  <c r="E14" i="8" s="1"/>
  <c r="F61" i="46"/>
  <c r="D15" i="8" s="1"/>
  <c r="E61" i="46"/>
  <c r="E15" i="8" s="1"/>
  <c r="F62" i="46"/>
  <c r="D16" i="8" s="1"/>
  <c r="E62" i="46"/>
  <c r="E16" i="8" s="1"/>
  <c r="F56" i="46"/>
  <c r="D10" i="8" s="1"/>
  <c r="E56" i="46"/>
  <c r="E10" i="8" s="1"/>
  <c r="F54" i="46"/>
  <c r="D8" i="8" s="1"/>
  <c r="E54" i="46"/>
  <c r="E8" i="8" s="1"/>
  <c r="F57" i="46"/>
  <c r="D11" i="8" s="1"/>
  <c r="E57" i="46"/>
  <c r="E11" i="8" s="1"/>
  <c r="F64" i="46"/>
  <c r="D18" i="8" s="1"/>
  <c r="E64" i="46"/>
  <c r="E18" i="8" s="1"/>
  <c r="E58" i="46"/>
  <c r="E12" i="8" s="1"/>
  <c r="E53" i="46"/>
  <c r="E7" i="8" s="1"/>
  <c r="E59" i="46"/>
  <c r="E13" i="8" s="1"/>
  <c r="U9" i="46" l="1"/>
  <c r="V9" i="46" s="1"/>
  <c r="H43" i="46"/>
  <c r="G12" i="8"/>
  <c r="M47" i="8"/>
  <c r="U76" i="46"/>
  <c r="V76" i="46" s="1"/>
  <c r="Y76" i="46" s="1"/>
  <c r="E39" i="8" s="1"/>
  <c r="F39" i="8" s="1"/>
  <c r="U82" i="46"/>
  <c r="V82" i="46" s="1"/>
  <c r="U79" i="46"/>
  <c r="V79" i="46" s="1"/>
  <c r="I48" i="8"/>
  <c r="I49" i="8"/>
  <c r="U78" i="46"/>
  <c r="V78" i="46" s="1"/>
  <c r="Y78" i="46" s="1"/>
  <c r="E41" i="8" s="1"/>
  <c r="F41" i="8" s="1"/>
  <c r="V84" i="46"/>
  <c r="H116" i="46"/>
  <c r="H109" i="46"/>
  <c r="H106" i="46"/>
  <c r="H115" i="46"/>
  <c r="H108" i="46"/>
  <c r="V81" i="46"/>
  <c r="H113" i="46"/>
  <c r="H105" i="46"/>
  <c r="F120" i="46"/>
  <c r="G36" i="8" s="1"/>
  <c r="E120" i="46"/>
  <c r="H36" i="8" s="1"/>
  <c r="H112" i="46"/>
  <c r="H107" i="46"/>
  <c r="E123" i="46"/>
  <c r="H39" i="8" s="1"/>
  <c r="F123" i="46"/>
  <c r="G39" i="8" s="1"/>
  <c r="Y75" i="46"/>
  <c r="E38" i="8" s="1"/>
  <c r="F124" i="46"/>
  <c r="G40" i="8" s="1"/>
  <c r="E124" i="46"/>
  <c r="H40" i="8" s="1"/>
  <c r="M40" i="8" s="1"/>
  <c r="Y82" i="46"/>
  <c r="E45" i="8" s="1"/>
  <c r="F45" i="8" s="1"/>
  <c r="Y79" i="46"/>
  <c r="E42" i="8" s="1"/>
  <c r="F42" i="8" s="1"/>
  <c r="Y74" i="46"/>
  <c r="E37" i="8" s="1"/>
  <c r="Y77" i="46"/>
  <c r="E40" i="8" s="1"/>
  <c r="F40" i="8" s="1"/>
  <c r="Y80" i="46"/>
  <c r="E43" i="8" s="1"/>
  <c r="F43" i="8" s="1"/>
  <c r="F128" i="46"/>
  <c r="G44" i="8" s="1"/>
  <c r="E128" i="46"/>
  <c r="H44" i="8" s="1"/>
  <c r="M44" i="8" s="1"/>
  <c r="F127" i="46"/>
  <c r="G43" i="8" s="1"/>
  <c r="E127" i="46"/>
  <c r="H43" i="8" s="1"/>
  <c r="M43" i="8" s="1"/>
  <c r="H114" i="46"/>
  <c r="H111" i="46"/>
  <c r="Y83" i="46"/>
  <c r="E46" i="8" s="1"/>
  <c r="F46" i="8" s="1"/>
  <c r="H38" i="46"/>
  <c r="U15" i="46"/>
  <c r="V15" i="46" s="1"/>
  <c r="U13" i="46"/>
  <c r="V13" i="46" s="1"/>
  <c r="H46" i="46"/>
  <c r="U17" i="46"/>
  <c r="V17" i="46" s="1"/>
  <c r="H39" i="46"/>
  <c r="Y9" i="46"/>
  <c r="C10" i="8" s="1"/>
  <c r="H41" i="46"/>
  <c r="Y11" i="46"/>
  <c r="C12" i="8" s="1"/>
  <c r="U16" i="46"/>
  <c r="U8" i="46"/>
  <c r="H44" i="46"/>
  <c r="Y12" i="46"/>
  <c r="C13" i="8" s="1"/>
  <c r="Y6" i="46"/>
  <c r="C7" i="8" s="1"/>
  <c r="Y10" i="46"/>
  <c r="C11" i="8" s="1"/>
  <c r="H42" i="46"/>
  <c r="Y15" i="46"/>
  <c r="C16" i="8" s="1"/>
  <c r="Y7" i="46"/>
  <c r="C8" i="8" s="1"/>
  <c r="E146" i="51" l="1"/>
  <c r="J46" i="8"/>
  <c r="L46" i="8" s="1"/>
  <c r="E143" i="51"/>
  <c r="J43" i="8"/>
  <c r="L43" i="8" s="1"/>
  <c r="E140" i="51"/>
  <c r="J40" i="8"/>
  <c r="L40" i="8" s="1"/>
  <c r="F37" i="8"/>
  <c r="E142" i="51"/>
  <c r="J42" i="8"/>
  <c r="L42" i="8" s="1"/>
  <c r="E145" i="51"/>
  <c r="J45" i="8"/>
  <c r="L45" i="8" s="1"/>
  <c r="F38" i="8"/>
  <c r="M39" i="8"/>
  <c r="H48" i="8"/>
  <c r="H49" i="8"/>
  <c r="M36" i="8"/>
  <c r="G49" i="8"/>
  <c r="G48" i="8"/>
  <c r="E141" i="51"/>
  <c r="J41" i="8"/>
  <c r="L41" i="8" s="1"/>
  <c r="E139" i="51"/>
  <c r="J39" i="8"/>
  <c r="L39" i="8" s="1"/>
  <c r="U85" i="46"/>
  <c r="V85" i="46"/>
  <c r="H110" i="46"/>
  <c r="Y84" i="46"/>
  <c r="E47" i="8" s="1"/>
  <c r="F47" i="8" s="1"/>
  <c r="Y73" i="46"/>
  <c r="E36" i="8" s="1"/>
  <c r="F36" i="8" s="1"/>
  <c r="Y81" i="46"/>
  <c r="E44" i="8" s="1"/>
  <c r="F44" i="8" s="1"/>
  <c r="H45" i="46"/>
  <c r="H47" i="46"/>
  <c r="Y13" i="46"/>
  <c r="C14" i="8" s="1"/>
  <c r="Y17" i="46"/>
  <c r="C18" i="8" s="1"/>
  <c r="H49" i="46"/>
  <c r="U18" i="46"/>
  <c r="V8" i="46"/>
  <c r="H40" i="46"/>
  <c r="V16" i="46"/>
  <c r="H48" i="46"/>
  <c r="E144" i="51" l="1"/>
  <c r="J44" i="8"/>
  <c r="L44" i="8" s="1"/>
  <c r="E48" i="8"/>
  <c r="E49" i="8"/>
  <c r="E147" i="51"/>
  <c r="J47" i="8"/>
  <c r="L47" i="8" s="1"/>
  <c r="M48" i="8"/>
  <c r="E138" i="51"/>
  <c r="J38" i="8"/>
  <c r="L38" i="8" s="1"/>
  <c r="J37" i="8"/>
  <c r="L37" i="8" s="1"/>
  <c r="E137" i="51"/>
  <c r="Y16" i="46"/>
  <c r="C17" i="8" s="1"/>
  <c r="Y8" i="46"/>
  <c r="C9" i="8" s="1"/>
  <c r="V18" i="46"/>
  <c r="E136" i="51" l="1"/>
  <c r="J36" i="8"/>
  <c r="F49" i="8"/>
  <c r="F48" i="8"/>
  <c r="L36" i="8"/>
  <c r="E70" i="9"/>
  <c r="E71" i="9"/>
  <c r="E72" i="9"/>
  <c r="E73" i="9"/>
  <c r="E74" i="9"/>
  <c r="E75" i="9"/>
  <c r="E76" i="9"/>
  <c r="E77" i="9"/>
  <c r="E78" i="9"/>
  <c r="E79" i="9"/>
  <c r="E69" i="9"/>
  <c r="E68" i="9"/>
  <c r="D70" i="9"/>
  <c r="D71" i="9"/>
  <c r="D72" i="9"/>
  <c r="D73" i="9"/>
  <c r="D74" i="9"/>
  <c r="D75" i="9"/>
  <c r="D76" i="9"/>
  <c r="D77" i="9"/>
  <c r="D78" i="9"/>
  <c r="D79" i="9"/>
  <c r="D69" i="9"/>
  <c r="D68" i="9"/>
  <c r="F40" i="45"/>
  <c r="G40" i="45" s="1"/>
  <c r="F39" i="45"/>
  <c r="G39" i="45" s="1"/>
  <c r="F38" i="45"/>
  <c r="G38" i="45" s="1"/>
  <c r="F37" i="45"/>
  <c r="G37" i="45" s="1"/>
  <c r="E41" i="45"/>
  <c r="F36" i="45"/>
  <c r="F35" i="45"/>
  <c r="G35" i="45" s="1"/>
  <c r="F34" i="45"/>
  <c r="G34" i="45" s="1"/>
  <c r="F33" i="45"/>
  <c r="G33" i="45" s="1"/>
  <c r="F32" i="45"/>
  <c r="G32" i="45" s="1"/>
  <c r="F31" i="45"/>
  <c r="G31" i="45" s="1"/>
  <c r="F30" i="45"/>
  <c r="G30" i="45" s="1"/>
  <c r="F29" i="45"/>
  <c r="E28" i="9"/>
  <c r="E29" i="9"/>
  <c r="E30" i="9"/>
  <c r="E31" i="9"/>
  <c r="E32" i="9"/>
  <c r="E34" i="9"/>
  <c r="E35" i="9"/>
  <c r="E36" i="9"/>
  <c r="E37" i="9"/>
  <c r="E27" i="9"/>
  <c r="E26" i="9"/>
  <c r="D28" i="9"/>
  <c r="D29" i="9"/>
  <c r="D30" i="9"/>
  <c r="D31" i="9"/>
  <c r="D32" i="9"/>
  <c r="D34" i="9"/>
  <c r="D35" i="9"/>
  <c r="D36" i="9"/>
  <c r="D37" i="9"/>
  <c r="D27" i="9"/>
  <c r="D26" i="9"/>
  <c r="F18" i="45"/>
  <c r="G18" i="45" s="1"/>
  <c r="F17" i="45"/>
  <c r="G17" i="45" s="1"/>
  <c r="F16" i="45"/>
  <c r="G16" i="45" s="1"/>
  <c r="F15" i="45"/>
  <c r="G15" i="45" s="1"/>
  <c r="E14" i="45"/>
  <c r="D14" i="45"/>
  <c r="F13" i="45"/>
  <c r="G13" i="45" s="1"/>
  <c r="F12" i="45"/>
  <c r="G12" i="45" s="1"/>
  <c r="F11" i="45"/>
  <c r="G11" i="45" s="1"/>
  <c r="F10" i="45"/>
  <c r="G10" i="45" s="1"/>
  <c r="F9" i="45"/>
  <c r="G9" i="45" s="1"/>
  <c r="F8" i="45"/>
  <c r="G8" i="45" s="1"/>
  <c r="F7" i="45"/>
  <c r="D19" i="45" l="1"/>
  <c r="D33" i="9"/>
  <c r="E19" i="45"/>
  <c r="E33" i="9"/>
  <c r="J49" i="8"/>
  <c r="J48" i="8"/>
  <c r="L48" i="8" s="1"/>
  <c r="E148" i="51"/>
  <c r="F41" i="45"/>
  <c r="G29" i="45"/>
  <c r="G36" i="45"/>
  <c r="D41" i="45"/>
  <c r="F14" i="45"/>
  <c r="G14" i="45" s="1"/>
  <c r="G7" i="45"/>
  <c r="G42" i="45" l="1"/>
  <c r="I141" i="51"/>
  <c r="F19" i="45"/>
  <c r="G20" i="45"/>
  <c r="R51" i="9" l="1"/>
  <c r="R52" i="9"/>
  <c r="R53" i="9"/>
  <c r="R54" i="9"/>
  <c r="R55" i="9"/>
  <c r="R56" i="9"/>
  <c r="R57" i="9"/>
  <c r="R58" i="9"/>
  <c r="R59" i="9"/>
  <c r="R60" i="9"/>
  <c r="R50" i="9"/>
  <c r="R49" i="9"/>
  <c r="Q51" i="9"/>
  <c r="Q52" i="9"/>
  <c r="Q53" i="9"/>
  <c r="Q54" i="9"/>
  <c r="Q55" i="9"/>
  <c r="Q56" i="9"/>
  <c r="Q57" i="9"/>
  <c r="Q58" i="9"/>
  <c r="Q59" i="9"/>
  <c r="Q60" i="9"/>
  <c r="Q50" i="9"/>
  <c r="Q49" i="9"/>
  <c r="O51" i="9"/>
  <c r="O52" i="9"/>
  <c r="O53" i="9"/>
  <c r="O54" i="9"/>
  <c r="O55" i="9"/>
  <c r="O56" i="9"/>
  <c r="O57" i="9"/>
  <c r="O58" i="9"/>
  <c r="O59" i="9"/>
  <c r="O60" i="9"/>
  <c r="O50" i="9"/>
  <c r="O49" i="9"/>
  <c r="N51" i="9"/>
  <c r="N52" i="9"/>
  <c r="N53" i="9"/>
  <c r="N54" i="9"/>
  <c r="N55" i="9"/>
  <c r="N56" i="9"/>
  <c r="N57" i="9"/>
  <c r="N58" i="9"/>
  <c r="N59" i="9"/>
  <c r="N60" i="9"/>
  <c r="N50" i="9"/>
  <c r="N49" i="9"/>
  <c r="M51" i="9"/>
  <c r="M52" i="9"/>
  <c r="M53" i="9"/>
  <c r="M54" i="9"/>
  <c r="M55" i="9"/>
  <c r="M56" i="9"/>
  <c r="M57" i="9"/>
  <c r="M58" i="9"/>
  <c r="M59" i="9"/>
  <c r="M60" i="9"/>
  <c r="M50" i="9"/>
  <c r="M49" i="9"/>
  <c r="L51" i="9"/>
  <c r="L52" i="9"/>
  <c r="L53" i="9"/>
  <c r="L54" i="9"/>
  <c r="L55" i="9"/>
  <c r="L56" i="9"/>
  <c r="L57" i="9"/>
  <c r="L58" i="9"/>
  <c r="L59" i="9"/>
  <c r="L60" i="9"/>
  <c r="L50" i="9"/>
  <c r="L49" i="9"/>
  <c r="K51" i="9"/>
  <c r="K52" i="9"/>
  <c r="K53" i="9"/>
  <c r="K54" i="9"/>
  <c r="K55" i="9"/>
  <c r="K56" i="9"/>
  <c r="K57" i="9"/>
  <c r="K58" i="9"/>
  <c r="K59" i="9"/>
  <c r="K60" i="9"/>
  <c r="K50" i="9"/>
  <c r="K49" i="9"/>
  <c r="H51" i="9"/>
  <c r="H52" i="9"/>
  <c r="H53" i="9"/>
  <c r="H54" i="9"/>
  <c r="H55" i="9"/>
  <c r="H56" i="9"/>
  <c r="H57" i="9"/>
  <c r="H58" i="9"/>
  <c r="H59" i="9"/>
  <c r="H60" i="9"/>
  <c r="H50" i="9"/>
  <c r="H49" i="9"/>
  <c r="G51" i="9"/>
  <c r="G52" i="9"/>
  <c r="G53" i="9"/>
  <c r="G54" i="9"/>
  <c r="G55" i="9"/>
  <c r="G56" i="9"/>
  <c r="G57" i="9"/>
  <c r="G58" i="9"/>
  <c r="G59" i="9"/>
  <c r="G60" i="9"/>
  <c r="G50" i="9"/>
  <c r="G49" i="9"/>
  <c r="F51" i="9"/>
  <c r="F52" i="9"/>
  <c r="F53" i="9"/>
  <c r="F54" i="9"/>
  <c r="F55" i="9"/>
  <c r="F56" i="9"/>
  <c r="F57" i="9"/>
  <c r="F58" i="9"/>
  <c r="F59" i="9"/>
  <c r="F60" i="9"/>
  <c r="F50" i="9"/>
  <c r="F49" i="9"/>
  <c r="E51" i="9"/>
  <c r="E52" i="9"/>
  <c r="E53" i="9"/>
  <c r="E54" i="9"/>
  <c r="E55" i="9"/>
  <c r="E56" i="9"/>
  <c r="E57" i="9"/>
  <c r="E58" i="9"/>
  <c r="E59" i="9"/>
  <c r="E60" i="9"/>
  <c r="E50" i="9"/>
  <c r="E49" i="9"/>
  <c r="D51" i="9"/>
  <c r="D52" i="9"/>
  <c r="D53" i="9"/>
  <c r="I53" i="9" s="1"/>
  <c r="D54" i="9"/>
  <c r="D55" i="9"/>
  <c r="D56" i="9"/>
  <c r="D57" i="9"/>
  <c r="I57" i="9" s="1"/>
  <c r="D58" i="9"/>
  <c r="D59" i="9"/>
  <c r="D60" i="9"/>
  <c r="D50" i="9"/>
  <c r="D49" i="9"/>
  <c r="T41" i="44"/>
  <c r="S41" i="44"/>
  <c r="Q41" i="44"/>
  <c r="P41" i="44"/>
  <c r="N41" i="44"/>
  <c r="M41" i="44"/>
  <c r="J41" i="44"/>
  <c r="I41" i="44"/>
  <c r="H41" i="44"/>
  <c r="G41" i="44"/>
  <c r="F41" i="44"/>
  <c r="E41" i="44"/>
  <c r="D41" i="44"/>
  <c r="T40" i="44"/>
  <c r="S40" i="44"/>
  <c r="Q40" i="44"/>
  <c r="P40" i="44"/>
  <c r="N40" i="44"/>
  <c r="M40" i="44"/>
  <c r="J40" i="44"/>
  <c r="I40" i="44"/>
  <c r="H40" i="44"/>
  <c r="G40" i="44"/>
  <c r="F40" i="44"/>
  <c r="E40" i="44"/>
  <c r="D40" i="44"/>
  <c r="K39" i="44"/>
  <c r="K38" i="44"/>
  <c r="K37" i="44"/>
  <c r="K36" i="44"/>
  <c r="K35" i="44"/>
  <c r="K34" i="44"/>
  <c r="K33" i="44"/>
  <c r="K32" i="44"/>
  <c r="K31" i="44"/>
  <c r="K30" i="44"/>
  <c r="K29" i="44"/>
  <c r="O41" i="44"/>
  <c r="K28" i="44"/>
  <c r="R9" i="9"/>
  <c r="R10" i="9"/>
  <c r="R11" i="9"/>
  <c r="R12" i="9"/>
  <c r="R13" i="9"/>
  <c r="R14" i="9"/>
  <c r="R15" i="9"/>
  <c r="R16" i="9"/>
  <c r="R17" i="9"/>
  <c r="R18" i="9"/>
  <c r="R8" i="9"/>
  <c r="R7" i="9"/>
  <c r="Q9" i="9"/>
  <c r="Q10" i="9"/>
  <c r="Q11" i="9"/>
  <c r="Q12" i="9"/>
  <c r="Q13" i="9"/>
  <c r="Q14" i="9"/>
  <c r="Q15" i="9"/>
  <c r="Q16" i="9"/>
  <c r="Q17" i="9"/>
  <c r="Q18" i="9"/>
  <c r="Q8" i="9"/>
  <c r="Q7" i="9"/>
  <c r="O9" i="9"/>
  <c r="O10" i="9"/>
  <c r="O11" i="9"/>
  <c r="O12" i="9"/>
  <c r="O13" i="9"/>
  <c r="O14" i="9"/>
  <c r="O15" i="9"/>
  <c r="O16" i="9"/>
  <c r="O17" i="9"/>
  <c r="O18" i="9"/>
  <c r="O8" i="9"/>
  <c r="O7" i="9"/>
  <c r="N9" i="9"/>
  <c r="N10" i="9"/>
  <c r="N11" i="9"/>
  <c r="N12" i="9"/>
  <c r="N13" i="9"/>
  <c r="N14" i="9"/>
  <c r="N15" i="9"/>
  <c r="N16" i="9"/>
  <c r="N17" i="9"/>
  <c r="N18" i="9"/>
  <c r="N8" i="9"/>
  <c r="N7" i="9"/>
  <c r="M18" i="9"/>
  <c r="M8" i="9"/>
  <c r="L9" i="9"/>
  <c r="L10" i="9"/>
  <c r="L11" i="9"/>
  <c r="L12" i="9"/>
  <c r="L13" i="9"/>
  <c r="L14" i="9"/>
  <c r="L15" i="9"/>
  <c r="L16" i="9"/>
  <c r="L17" i="9"/>
  <c r="L18" i="9"/>
  <c r="L8" i="9"/>
  <c r="L7" i="9"/>
  <c r="K9" i="9"/>
  <c r="K10" i="9"/>
  <c r="K11" i="9"/>
  <c r="K12" i="9"/>
  <c r="K13" i="9"/>
  <c r="K14" i="9"/>
  <c r="K15" i="9"/>
  <c r="K16" i="9"/>
  <c r="K17" i="9"/>
  <c r="K18" i="9"/>
  <c r="K8" i="9"/>
  <c r="K7" i="9"/>
  <c r="H9" i="9"/>
  <c r="H10" i="9"/>
  <c r="H11" i="9"/>
  <c r="H12" i="9"/>
  <c r="H13" i="9"/>
  <c r="H14" i="9"/>
  <c r="H15" i="9"/>
  <c r="H16" i="9"/>
  <c r="H17" i="9"/>
  <c r="H18" i="9"/>
  <c r="H8" i="9"/>
  <c r="H7" i="9"/>
  <c r="F9" i="9"/>
  <c r="F10" i="9"/>
  <c r="F11" i="9"/>
  <c r="F12" i="9"/>
  <c r="F13" i="9"/>
  <c r="F14" i="9"/>
  <c r="F15" i="9"/>
  <c r="F16" i="9"/>
  <c r="F17" i="9"/>
  <c r="F18" i="9"/>
  <c r="F8" i="9"/>
  <c r="F7" i="9"/>
  <c r="E9" i="9"/>
  <c r="E10" i="9"/>
  <c r="E11" i="9"/>
  <c r="E12" i="9"/>
  <c r="E13" i="9"/>
  <c r="E14" i="9"/>
  <c r="E15" i="9"/>
  <c r="E16" i="9"/>
  <c r="E17" i="9"/>
  <c r="E18" i="9"/>
  <c r="E8" i="9"/>
  <c r="E7" i="9"/>
  <c r="G18" i="9"/>
  <c r="G9" i="9"/>
  <c r="G10" i="9"/>
  <c r="G11" i="9"/>
  <c r="G12" i="9"/>
  <c r="G13" i="9"/>
  <c r="G14" i="9"/>
  <c r="G15" i="9"/>
  <c r="G16" i="9"/>
  <c r="G17" i="9"/>
  <c r="G8" i="9"/>
  <c r="G7" i="9"/>
  <c r="D9" i="9"/>
  <c r="D10" i="9"/>
  <c r="D11" i="9"/>
  <c r="D12" i="9"/>
  <c r="D13" i="9"/>
  <c r="D14" i="9"/>
  <c r="D15" i="9"/>
  <c r="D16" i="9"/>
  <c r="D17" i="9"/>
  <c r="D18" i="9"/>
  <c r="D8" i="9"/>
  <c r="D7" i="9"/>
  <c r="E81" i="9"/>
  <c r="D81" i="9"/>
  <c r="E80" i="9"/>
  <c r="D80" i="9"/>
  <c r="F79" i="9"/>
  <c r="O90" i="15" s="1"/>
  <c r="F78" i="9"/>
  <c r="N90" i="15" s="1"/>
  <c r="F77" i="9"/>
  <c r="M90" i="15" s="1"/>
  <c r="F76" i="9"/>
  <c r="L90" i="15" s="1"/>
  <c r="F75" i="9"/>
  <c r="K90" i="15" s="1"/>
  <c r="F74" i="9"/>
  <c r="J90" i="15" s="1"/>
  <c r="F73" i="9"/>
  <c r="I90" i="15" s="1"/>
  <c r="F72" i="9"/>
  <c r="H90" i="15" s="1"/>
  <c r="F71" i="9"/>
  <c r="G90" i="15" s="1"/>
  <c r="F70" i="9"/>
  <c r="F90" i="15" s="1"/>
  <c r="F69" i="9"/>
  <c r="E90" i="15" s="1"/>
  <c r="F68" i="9"/>
  <c r="D90" i="15" s="1"/>
  <c r="I60" i="9"/>
  <c r="I54" i="9"/>
  <c r="I52" i="9"/>
  <c r="M44" i="7"/>
  <c r="M43" i="7"/>
  <c r="M42" i="7"/>
  <c r="M41" i="7"/>
  <c r="M40" i="7"/>
  <c r="M39" i="7"/>
  <c r="M38" i="7"/>
  <c r="M37" i="7"/>
  <c r="M36" i="7"/>
  <c r="M35" i="7"/>
  <c r="M34" i="7"/>
  <c r="M33" i="7"/>
  <c r="L44" i="7"/>
  <c r="L43" i="7"/>
  <c r="L42" i="7"/>
  <c r="L41" i="7"/>
  <c r="L40" i="7"/>
  <c r="L39" i="7"/>
  <c r="L38" i="7"/>
  <c r="L37" i="7"/>
  <c r="L36" i="7"/>
  <c r="L35" i="7"/>
  <c r="L34" i="7"/>
  <c r="L33" i="7"/>
  <c r="O44" i="7"/>
  <c r="O43" i="7"/>
  <c r="O42" i="7"/>
  <c r="O41" i="7"/>
  <c r="O40" i="7"/>
  <c r="O39" i="7"/>
  <c r="O38" i="7"/>
  <c r="O37" i="7"/>
  <c r="O36" i="7"/>
  <c r="O35" i="7"/>
  <c r="O34" i="7"/>
  <c r="O33" i="7"/>
  <c r="N44" i="7"/>
  <c r="N43" i="7"/>
  <c r="N42" i="7"/>
  <c r="N41" i="7"/>
  <c r="N40" i="7"/>
  <c r="N39" i="7"/>
  <c r="N38" i="7"/>
  <c r="N37" i="7"/>
  <c r="N36" i="7"/>
  <c r="N35" i="7"/>
  <c r="N34" i="7"/>
  <c r="N33" i="7"/>
  <c r="P44" i="7"/>
  <c r="P43" i="7"/>
  <c r="P42" i="7"/>
  <c r="P41" i="7"/>
  <c r="P40" i="7"/>
  <c r="P39" i="7"/>
  <c r="P38" i="7"/>
  <c r="P37" i="7"/>
  <c r="P36" i="7"/>
  <c r="P35" i="7"/>
  <c r="P34" i="7"/>
  <c r="P33" i="7"/>
  <c r="K44" i="7"/>
  <c r="K43" i="7"/>
  <c r="K42" i="7"/>
  <c r="K41" i="7"/>
  <c r="K40" i="7"/>
  <c r="K39" i="7"/>
  <c r="K38" i="7"/>
  <c r="K37" i="7"/>
  <c r="K36" i="7"/>
  <c r="K35" i="7"/>
  <c r="K34" i="7"/>
  <c r="K33" i="7"/>
  <c r="I44" i="7"/>
  <c r="I43" i="7"/>
  <c r="I42" i="7"/>
  <c r="I41" i="7"/>
  <c r="I40" i="7"/>
  <c r="I39" i="7"/>
  <c r="I38" i="7"/>
  <c r="I37" i="7"/>
  <c r="I36" i="7"/>
  <c r="I35" i="7"/>
  <c r="I34" i="7"/>
  <c r="I33" i="7"/>
  <c r="P52" i="42"/>
  <c r="G44" i="7" s="1"/>
  <c r="O52" i="42"/>
  <c r="G43" i="7" s="1"/>
  <c r="N52" i="42"/>
  <c r="M52" i="42"/>
  <c r="G41" i="7" s="1"/>
  <c r="L52" i="42"/>
  <c r="K52" i="42"/>
  <c r="J52" i="42"/>
  <c r="I52" i="42"/>
  <c r="H52" i="42"/>
  <c r="G36" i="7" s="1"/>
  <c r="G52" i="42"/>
  <c r="G35" i="7" s="1"/>
  <c r="F52" i="42"/>
  <c r="E52" i="42"/>
  <c r="O31" i="43"/>
  <c r="O32" i="43" s="1"/>
  <c r="N31" i="43"/>
  <c r="N32" i="43" s="1"/>
  <c r="M31" i="43"/>
  <c r="M32" i="43" s="1"/>
  <c r="L31" i="43"/>
  <c r="L32" i="43" s="1"/>
  <c r="K31" i="43"/>
  <c r="K32" i="43" s="1"/>
  <c r="J31" i="43"/>
  <c r="J32" i="43" s="1"/>
  <c r="I31" i="43"/>
  <c r="I32" i="43" s="1"/>
  <c r="H31" i="43"/>
  <c r="H32" i="43" s="1"/>
  <c r="G31" i="43"/>
  <c r="G32" i="43" s="1"/>
  <c r="F31" i="43"/>
  <c r="F32" i="43" s="1"/>
  <c r="E31" i="43"/>
  <c r="E32" i="43" s="1"/>
  <c r="D31" i="43"/>
  <c r="D32" i="43" s="1"/>
  <c r="Q30" i="43"/>
  <c r="P30" i="43"/>
  <c r="Q29" i="43"/>
  <c r="P29" i="43"/>
  <c r="Q28" i="43"/>
  <c r="P28" i="43"/>
  <c r="Q27" i="43"/>
  <c r="P27" i="43"/>
  <c r="Q26" i="43"/>
  <c r="P26" i="43"/>
  <c r="Q25" i="43"/>
  <c r="P25" i="43"/>
  <c r="Q24" i="43"/>
  <c r="P24" i="43"/>
  <c r="P20" i="7"/>
  <c r="P19" i="7"/>
  <c r="P18" i="7"/>
  <c r="P17" i="7"/>
  <c r="P16" i="7"/>
  <c r="P15" i="7"/>
  <c r="P14" i="7"/>
  <c r="P13" i="7"/>
  <c r="P12" i="7"/>
  <c r="P11" i="7"/>
  <c r="P10" i="7"/>
  <c r="P9" i="7"/>
  <c r="O20" i="7"/>
  <c r="O19" i="7"/>
  <c r="O18" i="7"/>
  <c r="O17" i="7"/>
  <c r="O16" i="7"/>
  <c r="O15" i="7"/>
  <c r="O14" i="7"/>
  <c r="O13" i="7"/>
  <c r="O12" i="7"/>
  <c r="O11" i="7"/>
  <c r="O10" i="7"/>
  <c r="O9" i="7"/>
  <c r="N20" i="7"/>
  <c r="N19" i="7"/>
  <c r="N18" i="7"/>
  <c r="N17" i="7"/>
  <c r="N16" i="7"/>
  <c r="N15" i="7"/>
  <c r="N14" i="7"/>
  <c r="N13" i="7"/>
  <c r="N12" i="7"/>
  <c r="N11" i="7"/>
  <c r="N10" i="7"/>
  <c r="N9" i="7"/>
  <c r="K20" i="7"/>
  <c r="K19" i="7"/>
  <c r="K18" i="7"/>
  <c r="K17" i="7"/>
  <c r="K16" i="7"/>
  <c r="K15" i="7"/>
  <c r="K14" i="7"/>
  <c r="K13" i="7"/>
  <c r="K12" i="7"/>
  <c r="K11" i="7"/>
  <c r="K10" i="7"/>
  <c r="K9" i="7"/>
  <c r="I20" i="7"/>
  <c r="I19" i="7"/>
  <c r="I18" i="7"/>
  <c r="I17" i="7"/>
  <c r="I16" i="7"/>
  <c r="I15" i="7"/>
  <c r="I14" i="7"/>
  <c r="I13" i="7"/>
  <c r="I12" i="7"/>
  <c r="I11" i="7"/>
  <c r="I10" i="7"/>
  <c r="I9" i="7"/>
  <c r="N22" i="7" l="1"/>
  <c r="N21" i="7"/>
  <c r="G33" i="7"/>
  <c r="R52" i="42"/>
  <c r="G34" i="7"/>
  <c r="G37" i="7"/>
  <c r="G38" i="7"/>
  <c r="G39" i="7"/>
  <c r="G40" i="7"/>
  <c r="G42" i="7"/>
  <c r="D62" i="9"/>
  <c r="I55" i="9"/>
  <c r="E61" i="9"/>
  <c r="F61" i="9"/>
  <c r="I56" i="9"/>
  <c r="M62" i="9"/>
  <c r="N62" i="9"/>
  <c r="R39" i="44"/>
  <c r="U39" i="44" s="1"/>
  <c r="R38" i="44"/>
  <c r="U38" i="44" s="1"/>
  <c r="R36" i="44"/>
  <c r="R31" i="44"/>
  <c r="U31" i="44" s="1"/>
  <c r="R30" i="44"/>
  <c r="U30" i="44" s="1"/>
  <c r="R35" i="44"/>
  <c r="R34" i="44"/>
  <c r="R33" i="44"/>
  <c r="R32" i="44"/>
  <c r="R37" i="44"/>
  <c r="R29" i="44"/>
  <c r="R28" i="44"/>
  <c r="P59" i="9"/>
  <c r="S59" i="9" s="1"/>
  <c r="P60" i="9"/>
  <c r="S60" i="9" s="1"/>
  <c r="O89" i="15" s="1"/>
  <c r="R61" i="9"/>
  <c r="R62" i="9"/>
  <c r="Q62" i="9"/>
  <c r="Q61" i="9"/>
  <c r="O61" i="9"/>
  <c r="O62" i="9"/>
  <c r="N61" i="9"/>
  <c r="M61" i="9"/>
  <c r="L61" i="9"/>
  <c r="L62" i="9"/>
  <c r="K62" i="9"/>
  <c r="K61" i="9"/>
  <c r="H62" i="9"/>
  <c r="H61" i="9"/>
  <c r="I58" i="9"/>
  <c r="G62" i="9"/>
  <c r="G61" i="9"/>
  <c r="F62" i="9"/>
  <c r="I51" i="9"/>
  <c r="I59" i="9"/>
  <c r="E62" i="9"/>
  <c r="I50" i="9"/>
  <c r="D61" i="9"/>
  <c r="I49" i="9"/>
  <c r="K41" i="44"/>
  <c r="O40" i="44"/>
  <c r="K40" i="44"/>
  <c r="F80" i="9"/>
  <c r="R53" i="42"/>
  <c r="P31" i="43"/>
  <c r="P32" i="43"/>
  <c r="K5" i="44"/>
  <c r="O5" i="44"/>
  <c r="K6" i="44"/>
  <c r="K7" i="44"/>
  <c r="O7" i="44"/>
  <c r="K8" i="44"/>
  <c r="O8" i="44"/>
  <c r="K9" i="44"/>
  <c r="O9" i="44"/>
  <c r="K10" i="44"/>
  <c r="O10" i="44"/>
  <c r="K11" i="44"/>
  <c r="O11" i="44"/>
  <c r="K12" i="44"/>
  <c r="O12" i="44"/>
  <c r="K13" i="44"/>
  <c r="O13" i="44"/>
  <c r="K14" i="44"/>
  <c r="O14" i="44"/>
  <c r="K15" i="44"/>
  <c r="O15" i="44"/>
  <c r="K16" i="44"/>
  <c r="D17" i="44"/>
  <c r="E17" i="44"/>
  <c r="F17" i="44"/>
  <c r="G17" i="44"/>
  <c r="H17" i="44"/>
  <c r="I17" i="44"/>
  <c r="J17" i="44"/>
  <c r="M17" i="44"/>
  <c r="N17" i="44"/>
  <c r="P17" i="44"/>
  <c r="Q17" i="44"/>
  <c r="S17" i="44"/>
  <c r="T17" i="44"/>
  <c r="D18" i="44"/>
  <c r="E18" i="44"/>
  <c r="F18" i="44"/>
  <c r="G18" i="44"/>
  <c r="H18" i="44"/>
  <c r="I18" i="44"/>
  <c r="J18" i="44"/>
  <c r="M18" i="44"/>
  <c r="N18" i="44"/>
  <c r="P18" i="44"/>
  <c r="Q18" i="44"/>
  <c r="S18" i="44"/>
  <c r="T18" i="44"/>
  <c r="P5" i="43"/>
  <c r="Q5" i="43"/>
  <c r="P6" i="43"/>
  <c r="Q6" i="43"/>
  <c r="P7" i="43"/>
  <c r="Q7" i="43"/>
  <c r="P8" i="43"/>
  <c r="Q8" i="43"/>
  <c r="P9" i="43"/>
  <c r="Q9" i="43"/>
  <c r="P10" i="43"/>
  <c r="Q10" i="43"/>
  <c r="P11" i="43"/>
  <c r="Q11" i="43"/>
  <c r="D12" i="43"/>
  <c r="D13" i="43" s="1"/>
  <c r="E12" i="43"/>
  <c r="E13" i="43" s="1"/>
  <c r="F12" i="43"/>
  <c r="F13" i="43" s="1"/>
  <c r="G12" i="43"/>
  <c r="G13" i="43" s="1"/>
  <c r="H12" i="43"/>
  <c r="H13" i="43" s="1"/>
  <c r="I12" i="43"/>
  <c r="I13" i="43" s="1"/>
  <c r="J12" i="43"/>
  <c r="J13" i="43" s="1"/>
  <c r="K12" i="43"/>
  <c r="K13" i="43" s="1"/>
  <c r="L12" i="43"/>
  <c r="L13" i="43" s="1"/>
  <c r="M12" i="43"/>
  <c r="M13" i="43" s="1"/>
  <c r="N12" i="43"/>
  <c r="N13" i="43" s="1"/>
  <c r="O12" i="43"/>
  <c r="O13" i="43" s="1"/>
  <c r="P23" i="42"/>
  <c r="O23" i="42"/>
  <c r="G19" i="7" s="1"/>
  <c r="N23" i="42"/>
  <c r="M23" i="42"/>
  <c r="L23" i="42"/>
  <c r="G16" i="7" s="1"/>
  <c r="K23" i="42"/>
  <c r="G15" i="7" s="1"/>
  <c r="J23" i="42"/>
  <c r="I23" i="42"/>
  <c r="H23" i="42"/>
  <c r="G23" i="42"/>
  <c r="G11" i="7" s="1"/>
  <c r="F23" i="42"/>
  <c r="E23" i="42"/>
  <c r="G9" i="7" s="1"/>
  <c r="R23" i="42" l="1"/>
  <c r="N89" i="15"/>
  <c r="P52" i="9"/>
  <c r="S52" i="9" s="1"/>
  <c r="G89" i="15" s="1"/>
  <c r="P57" i="9"/>
  <c r="S57" i="9" s="1"/>
  <c r="L89" i="15" s="1"/>
  <c r="U36" i="44"/>
  <c r="P51" i="9"/>
  <c r="S51" i="9" s="1"/>
  <c r="F89" i="15" s="1"/>
  <c r="P58" i="9"/>
  <c r="S58" i="9" s="1"/>
  <c r="M89" i="15" s="1"/>
  <c r="U37" i="44"/>
  <c r="P53" i="9"/>
  <c r="S53" i="9" s="1"/>
  <c r="H89" i="15" s="1"/>
  <c r="U32" i="44"/>
  <c r="R40" i="44"/>
  <c r="U33" i="44"/>
  <c r="P54" i="9"/>
  <c r="S54" i="9" s="1"/>
  <c r="I89" i="15" s="1"/>
  <c r="U34" i="44"/>
  <c r="P55" i="9"/>
  <c r="S55" i="9" s="1"/>
  <c r="J89" i="15" s="1"/>
  <c r="U35" i="44"/>
  <c r="P56" i="9"/>
  <c r="S56" i="9" s="1"/>
  <c r="K89" i="15" s="1"/>
  <c r="P50" i="9"/>
  <c r="S50" i="9" s="1"/>
  <c r="E89" i="15" s="1"/>
  <c r="U29" i="44"/>
  <c r="P49" i="9"/>
  <c r="S49" i="9" s="1"/>
  <c r="D89" i="15" s="1"/>
  <c r="R41" i="44"/>
  <c r="U28" i="44"/>
  <c r="I62" i="9"/>
  <c r="I61" i="9"/>
  <c r="M14" i="9"/>
  <c r="M10" i="9"/>
  <c r="M16" i="9"/>
  <c r="M12" i="9"/>
  <c r="M17" i="9"/>
  <c r="M13" i="9"/>
  <c r="M15" i="9"/>
  <c r="M11" i="9"/>
  <c r="M7" i="9"/>
  <c r="M9" i="9"/>
  <c r="T53" i="42"/>
  <c r="G12" i="7"/>
  <c r="G20" i="7"/>
  <c r="G14" i="7"/>
  <c r="G18" i="7"/>
  <c r="G13" i="7"/>
  <c r="G10" i="7"/>
  <c r="R24" i="42"/>
  <c r="G17" i="7"/>
  <c r="K17" i="44"/>
  <c r="O18" i="44"/>
  <c r="P12" i="43"/>
  <c r="O17" i="44"/>
  <c r="K18" i="44"/>
  <c r="P13" i="43"/>
  <c r="S61" i="9" l="1"/>
  <c r="S62" i="9"/>
  <c r="P62" i="9"/>
  <c r="P61" i="9"/>
  <c r="U40" i="44"/>
  <c r="U41" i="44"/>
  <c r="T24" i="42"/>
  <c r="S46" i="7"/>
  <c r="R46" i="7"/>
  <c r="P46" i="7"/>
  <c r="O46" i="7"/>
  <c r="L46" i="7"/>
  <c r="K46" i="7"/>
  <c r="J46" i="7"/>
  <c r="I46" i="7"/>
  <c r="G46" i="7"/>
  <c r="F46" i="7"/>
  <c r="E46" i="7"/>
  <c r="D46" i="7"/>
  <c r="C46" i="7"/>
  <c r="S45" i="7"/>
  <c r="R45" i="7"/>
  <c r="P45" i="7"/>
  <c r="O45" i="7"/>
  <c r="L45" i="7"/>
  <c r="K45" i="7"/>
  <c r="J45" i="7"/>
  <c r="I45" i="7"/>
  <c r="G45" i="7"/>
  <c r="F45" i="7"/>
  <c r="E45" i="7"/>
  <c r="D45" i="7"/>
  <c r="C45" i="7"/>
  <c r="Q44" i="7"/>
  <c r="H44" i="7"/>
  <c r="Q43" i="7"/>
  <c r="H43" i="7"/>
  <c r="Q42" i="7"/>
  <c r="H42" i="7"/>
  <c r="Q41" i="7"/>
  <c r="H41" i="7"/>
  <c r="Q40" i="7"/>
  <c r="H40" i="7"/>
  <c r="Q39" i="7"/>
  <c r="H39" i="7"/>
  <c r="Q38" i="7"/>
  <c r="H38" i="7"/>
  <c r="Q37" i="7"/>
  <c r="H37" i="7"/>
  <c r="Q36" i="7"/>
  <c r="H36" i="7"/>
  <c r="Q35" i="7"/>
  <c r="H35" i="7"/>
  <c r="Q34" i="7"/>
  <c r="H34" i="7"/>
  <c r="Q33" i="7"/>
  <c r="H33" i="7"/>
  <c r="O75" i="15"/>
  <c r="N75" i="15"/>
  <c r="M75" i="15"/>
  <c r="L75" i="15"/>
  <c r="K75" i="15"/>
  <c r="J75" i="15"/>
  <c r="I75" i="15"/>
  <c r="H75" i="15"/>
  <c r="G75" i="15"/>
  <c r="F75" i="15"/>
  <c r="E75" i="15"/>
  <c r="D75" i="15"/>
  <c r="D64" i="3"/>
  <c r="D65" i="3"/>
  <c r="D66" i="3"/>
  <c r="D67" i="3"/>
  <c r="D68" i="3"/>
  <c r="D69" i="3"/>
  <c r="D70" i="3"/>
  <c r="D71" i="3"/>
  <c r="D72" i="3"/>
  <c r="D73" i="3"/>
  <c r="D63" i="3"/>
  <c r="D62" i="3"/>
  <c r="E64" i="3"/>
  <c r="E65" i="3"/>
  <c r="E66" i="3"/>
  <c r="E67" i="3"/>
  <c r="E68" i="3"/>
  <c r="E69" i="3"/>
  <c r="E70" i="3"/>
  <c r="E71" i="3"/>
  <c r="E72" i="3"/>
  <c r="E73" i="3"/>
  <c r="E63" i="3"/>
  <c r="E62" i="3"/>
  <c r="C73" i="3"/>
  <c r="C64" i="3"/>
  <c r="C65" i="3"/>
  <c r="C66" i="3"/>
  <c r="C67" i="3"/>
  <c r="C68" i="3"/>
  <c r="C69" i="3"/>
  <c r="C70" i="3"/>
  <c r="C71" i="3"/>
  <c r="C72" i="3"/>
  <c r="C63" i="3"/>
  <c r="C62" i="3"/>
  <c r="D26" i="3"/>
  <c r="D27" i="3"/>
  <c r="D28" i="3"/>
  <c r="D29" i="3"/>
  <c r="D30" i="3"/>
  <c r="D31" i="3"/>
  <c r="D32" i="3"/>
  <c r="D33" i="3"/>
  <c r="D34" i="3"/>
  <c r="D35" i="3"/>
  <c r="D25" i="3"/>
  <c r="D24" i="3"/>
  <c r="E28" i="3"/>
  <c r="E29" i="3"/>
  <c r="E30" i="3"/>
  <c r="E31" i="3"/>
  <c r="E32" i="3"/>
  <c r="E35" i="3"/>
  <c r="E26" i="3"/>
  <c r="E25" i="3"/>
  <c r="E24" i="3"/>
  <c r="C35" i="3"/>
  <c r="C26" i="3"/>
  <c r="C27" i="3"/>
  <c r="C28" i="3"/>
  <c r="C29" i="3"/>
  <c r="C30" i="3"/>
  <c r="C31" i="3"/>
  <c r="C25" i="3"/>
  <c r="C24" i="3"/>
  <c r="O62" i="15"/>
  <c r="N62" i="15"/>
  <c r="M62" i="15"/>
  <c r="L62" i="15"/>
  <c r="K62" i="15"/>
  <c r="J62" i="15"/>
  <c r="I62" i="15"/>
  <c r="H62" i="15"/>
  <c r="G62" i="15"/>
  <c r="F62" i="15"/>
  <c r="E62" i="15"/>
  <c r="D62" i="15"/>
  <c r="P69" i="6"/>
  <c r="P70" i="6"/>
  <c r="P71" i="6"/>
  <c r="P72" i="6"/>
  <c r="P73" i="6"/>
  <c r="P74" i="6"/>
  <c r="P75" i="6"/>
  <c r="P76" i="6"/>
  <c r="P77" i="6"/>
  <c r="P78" i="6"/>
  <c r="P68" i="6"/>
  <c r="P67" i="6"/>
  <c r="O69" i="6"/>
  <c r="O70" i="6"/>
  <c r="O71" i="6"/>
  <c r="O72" i="6"/>
  <c r="O73" i="6"/>
  <c r="O74" i="6"/>
  <c r="O75" i="6"/>
  <c r="Q75" i="6" s="1"/>
  <c r="O76" i="6"/>
  <c r="O77" i="6"/>
  <c r="O78" i="6"/>
  <c r="O68" i="6"/>
  <c r="O67" i="6"/>
  <c r="P9" i="6"/>
  <c r="P10" i="6"/>
  <c r="P11" i="6"/>
  <c r="P12" i="6"/>
  <c r="P13" i="6"/>
  <c r="P14" i="6"/>
  <c r="P15" i="6"/>
  <c r="P16" i="6"/>
  <c r="P17" i="6"/>
  <c r="P18" i="6"/>
  <c r="P8" i="6"/>
  <c r="P7" i="6"/>
  <c r="O18" i="6"/>
  <c r="O9" i="6"/>
  <c r="O10" i="6"/>
  <c r="O11" i="6"/>
  <c r="O12" i="6"/>
  <c r="O13" i="6"/>
  <c r="O14" i="6"/>
  <c r="O15" i="6"/>
  <c r="O16" i="6"/>
  <c r="O17" i="6"/>
  <c r="O8" i="6"/>
  <c r="O7" i="6"/>
  <c r="K116" i="6"/>
  <c r="I116" i="6"/>
  <c r="H116" i="6"/>
  <c r="G116" i="6"/>
  <c r="K115" i="6"/>
  <c r="I115" i="6"/>
  <c r="H115" i="6"/>
  <c r="G115" i="6"/>
  <c r="I98" i="6"/>
  <c r="I97" i="6"/>
  <c r="I80" i="6"/>
  <c r="H80" i="6"/>
  <c r="G80" i="6"/>
  <c r="F80" i="6"/>
  <c r="E80" i="6"/>
  <c r="D80" i="6"/>
  <c r="C80" i="6"/>
  <c r="I79" i="6"/>
  <c r="H79" i="6"/>
  <c r="G79" i="6"/>
  <c r="F79" i="6"/>
  <c r="E79" i="6"/>
  <c r="D79" i="6"/>
  <c r="C79" i="6"/>
  <c r="J79" i="6" s="1"/>
  <c r="J78" i="6"/>
  <c r="J77" i="6"/>
  <c r="J76" i="6"/>
  <c r="J75" i="6"/>
  <c r="J74" i="6"/>
  <c r="Q73" i="6"/>
  <c r="J73" i="6"/>
  <c r="Q72" i="6"/>
  <c r="J72" i="6"/>
  <c r="Q71" i="6"/>
  <c r="J71" i="6"/>
  <c r="J70" i="6"/>
  <c r="Q69" i="6"/>
  <c r="J69" i="6"/>
  <c r="J68" i="6"/>
  <c r="J67" i="6"/>
  <c r="J80" i="6" s="1"/>
  <c r="R61" i="5"/>
  <c r="N108" i="11" s="1"/>
  <c r="R52" i="5"/>
  <c r="R53" i="5"/>
  <c r="F108" i="11" s="1"/>
  <c r="R54" i="5"/>
  <c r="R55" i="5"/>
  <c r="H108" i="11" s="1"/>
  <c r="R56" i="5"/>
  <c r="I108" i="11" s="1"/>
  <c r="R57" i="5"/>
  <c r="J108" i="11" s="1"/>
  <c r="R58" i="5"/>
  <c r="R59" i="5"/>
  <c r="R60" i="5"/>
  <c r="R51" i="5"/>
  <c r="D108" i="11" s="1"/>
  <c r="R50" i="5"/>
  <c r="C108" i="11" s="1"/>
  <c r="Q61" i="5"/>
  <c r="N107" i="11" s="1"/>
  <c r="N112" i="11" s="1"/>
  <c r="Q52" i="5"/>
  <c r="E107" i="11" s="1"/>
  <c r="Q53" i="5"/>
  <c r="Q54" i="5"/>
  <c r="G107" i="11" s="1"/>
  <c r="Q55" i="5"/>
  <c r="H107" i="11" s="1"/>
  <c r="H112" i="11" s="1"/>
  <c r="Q56" i="5"/>
  <c r="I107" i="11" s="1"/>
  <c r="I112" i="11" s="1"/>
  <c r="Q57" i="5"/>
  <c r="Q58" i="5"/>
  <c r="K107" i="11" s="1"/>
  <c r="Q59" i="5"/>
  <c r="Q60" i="5"/>
  <c r="M107" i="11" s="1"/>
  <c r="Q51" i="5"/>
  <c r="D107" i="11" s="1"/>
  <c r="D112" i="11" s="1"/>
  <c r="Q50" i="5"/>
  <c r="C107" i="11" s="1"/>
  <c r="C112" i="11" s="1"/>
  <c r="R10" i="5"/>
  <c r="R11" i="5"/>
  <c r="R12" i="5"/>
  <c r="R13" i="5"/>
  <c r="R14" i="5"/>
  <c r="R15" i="5"/>
  <c r="R16" i="5"/>
  <c r="R17" i="5"/>
  <c r="R18" i="5"/>
  <c r="R19" i="5"/>
  <c r="R9" i="5"/>
  <c r="R8" i="5"/>
  <c r="Q19" i="5"/>
  <c r="Q10" i="5"/>
  <c r="Q11" i="5"/>
  <c r="Q12" i="5"/>
  <c r="Q13" i="5"/>
  <c r="Q14" i="5"/>
  <c r="Q15" i="5"/>
  <c r="Q16" i="5"/>
  <c r="Q17" i="5"/>
  <c r="Q18" i="5"/>
  <c r="Q9" i="5"/>
  <c r="Q8" i="5"/>
  <c r="L80" i="5"/>
  <c r="K80" i="5"/>
  <c r="I80" i="5"/>
  <c r="G80" i="5"/>
  <c r="F80" i="5"/>
  <c r="L79" i="5"/>
  <c r="J79" i="5"/>
  <c r="I79" i="5"/>
  <c r="G79" i="5"/>
  <c r="F79" i="5"/>
  <c r="L78" i="5"/>
  <c r="I78" i="5"/>
  <c r="G78" i="5"/>
  <c r="F78" i="5"/>
  <c r="L77" i="5"/>
  <c r="J77" i="5"/>
  <c r="I77" i="5"/>
  <c r="G77" i="5"/>
  <c r="F77" i="5"/>
  <c r="L76" i="5"/>
  <c r="K76" i="5"/>
  <c r="J76" i="5"/>
  <c r="I76" i="5"/>
  <c r="G76" i="5"/>
  <c r="F76" i="5"/>
  <c r="L75" i="5"/>
  <c r="K75" i="5"/>
  <c r="J75" i="5"/>
  <c r="I75" i="5"/>
  <c r="G75" i="5"/>
  <c r="F75" i="5"/>
  <c r="L74" i="5"/>
  <c r="K74" i="5"/>
  <c r="J74" i="5"/>
  <c r="I74" i="5"/>
  <c r="G74" i="5"/>
  <c r="F74" i="5"/>
  <c r="L73" i="5"/>
  <c r="K73" i="5"/>
  <c r="J73" i="5"/>
  <c r="I73" i="5"/>
  <c r="G73" i="5"/>
  <c r="F73" i="5"/>
  <c r="L72" i="5"/>
  <c r="K72" i="5"/>
  <c r="I72" i="5"/>
  <c r="G72" i="5"/>
  <c r="F72" i="5"/>
  <c r="L71" i="5"/>
  <c r="J71" i="5"/>
  <c r="I71" i="5"/>
  <c r="G71" i="5"/>
  <c r="F71" i="5"/>
  <c r="L70" i="5"/>
  <c r="J70" i="5"/>
  <c r="I70" i="5"/>
  <c r="G70" i="5"/>
  <c r="F70" i="5"/>
  <c r="L69" i="5"/>
  <c r="K69" i="5"/>
  <c r="J69" i="5"/>
  <c r="I69" i="5"/>
  <c r="G69" i="5"/>
  <c r="G81" i="5" s="1"/>
  <c r="F69" i="5"/>
  <c r="S63" i="5"/>
  <c r="P63" i="5"/>
  <c r="O63" i="5"/>
  <c r="N63" i="5"/>
  <c r="K63" i="5"/>
  <c r="I63" i="5"/>
  <c r="H63" i="5"/>
  <c r="D63" i="5"/>
  <c r="S62" i="5"/>
  <c r="P62" i="5"/>
  <c r="O62" i="5"/>
  <c r="N62" i="5"/>
  <c r="K62" i="5"/>
  <c r="I62" i="5"/>
  <c r="H62" i="5"/>
  <c r="D62" i="5"/>
  <c r="T60" i="5"/>
  <c r="T56" i="5"/>
  <c r="T55" i="5"/>
  <c r="G71" i="30"/>
  <c r="H71" i="30"/>
  <c r="L71" i="30"/>
  <c r="M71" i="30"/>
  <c r="G72" i="30"/>
  <c r="H72" i="30"/>
  <c r="L72" i="30"/>
  <c r="M72" i="30"/>
  <c r="K17" i="41"/>
  <c r="H77" i="4" s="1"/>
  <c r="K16" i="41"/>
  <c r="H76" i="4" s="1"/>
  <c r="K15" i="41"/>
  <c r="H75" i="4" s="1"/>
  <c r="K14" i="41"/>
  <c r="H74" i="4" s="1"/>
  <c r="K13" i="41"/>
  <c r="H73" i="4" s="1"/>
  <c r="J18" i="41"/>
  <c r="K12" i="41"/>
  <c r="H72" i="4" s="1"/>
  <c r="K11" i="41"/>
  <c r="H71" i="4" s="1"/>
  <c r="K10" i="41"/>
  <c r="H70" i="4" s="1"/>
  <c r="K9" i="41"/>
  <c r="H69" i="4" s="1"/>
  <c r="K8" i="41"/>
  <c r="H68" i="4" s="1"/>
  <c r="K7" i="41"/>
  <c r="H67" i="4" s="1"/>
  <c r="K6" i="41"/>
  <c r="H66" i="4" s="1"/>
  <c r="H36" i="4"/>
  <c r="F6" i="41"/>
  <c r="H25" i="4" s="1"/>
  <c r="F7" i="41"/>
  <c r="H26" i="4" s="1"/>
  <c r="F8" i="41"/>
  <c r="H27" i="4" s="1"/>
  <c r="F9" i="41"/>
  <c r="H28" i="4" s="1"/>
  <c r="E16" i="41"/>
  <c r="D16" i="41"/>
  <c r="E15" i="41"/>
  <c r="D15" i="41"/>
  <c r="E14" i="41"/>
  <c r="D14" i="41"/>
  <c r="E13" i="41"/>
  <c r="D13" i="41"/>
  <c r="E12" i="41"/>
  <c r="E18" i="41" s="1"/>
  <c r="D12" i="41"/>
  <c r="D18" i="41" s="1"/>
  <c r="F11" i="41"/>
  <c r="H30" i="4" s="1"/>
  <c r="F10" i="41"/>
  <c r="H29" i="4" s="1"/>
  <c r="J78" i="5" l="1"/>
  <c r="L107" i="11"/>
  <c r="T57" i="5"/>
  <c r="J107" i="11"/>
  <c r="J112" i="11" s="1"/>
  <c r="T53" i="5"/>
  <c r="F107" i="11"/>
  <c r="F112" i="11" s="1"/>
  <c r="K79" i="5"/>
  <c r="M108" i="11"/>
  <c r="M112" i="11" s="1"/>
  <c r="K78" i="5"/>
  <c r="L108" i="11"/>
  <c r="K77" i="5"/>
  <c r="K108" i="11"/>
  <c r="K112" i="11" s="1"/>
  <c r="T54" i="5"/>
  <c r="G108" i="11"/>
  <c r="G112" i="11" s="1"/>
  <c r="K71" i="5"/>
  <c r="E108" i="11"/>
  <c r="E112" i="11" s="1"/>
  <c r="Q18" i="6"/>
  <c r="Q17" i="6"/>
  <c r="Q16" i="6"/>
  <c r="O80" i="6"/>
  <c r="Q78" i="6"/>
  <c r="Q77" i="6"/>
  <c r="Q74" i="6"/>
  <c r="Q70" i="6"/>
  <c r="E84" i="51"/>
  <c r="D82" i="15"/>
  <c r="E110" i="51"/>
  <c r="D83" i="15"/>
  <c r="E85" i="51"/>
  <c r="E82" i="15"/>
  <c r="E111" i="51"/>
  <c r="E83" i="15"/>
  <c r="E86" i="51"/>
  <c r="F82" i="15"/>
  <c r="E112" i="51"/>
  <c r="F83" i="15"/>
  <c r="E87" i="51"/>
  <c r="G82" i="15"/>
  <c r="E113" i="51"/>
  <c r="G83" i="15"/>
  <c r="E88" i="51"/>
  <c r="H82" i="15"/>
  <c r="E114" i="51"/>
  <c r="H83" i="15"/>
  <c r="E89" i="51"/>
  <c r="I82" i="15"/>
  <c r="E115" i="51"/>
  <c r="I83" i="15"/>
  <c r="E90" i="51"/>
  <c r="J82" i="15"/>
  <c r="E116" i="51"/>
  <c r="J83" i="15"/>
  <c r="E91" i="51"/>
  <c r="K82" i="15"/>
  <c r="E117" i="51"/>
  <c r="K83" i="15"/>
  <c r="E92" i="51"/>
  <c r="L82" i="15"/>
  <c r="E118" i="51"/>
  <c r="L83" i="15"/>
  <c r="E93" i="51"/>
  <c r="M82" i="15"/>
  <c r="E119" i="51"/>
  <c r="M83" i="15"/>
  <c r="E94" i="51"/>
  <c r="N82" i="15"/>
  <c r="E120" i="51"/>
  <c r="N83" i="15"/>
  <c r="E95" i="51"/>
  <c r="O82" i="15"/>
  <c r="E121" i="51"/>
  <c r="O83" i="15"/>
  <c r="H45" i="7"/>
  <c r="H46" i="7"/>
  <c r="Q46" i="7"/>
  <c r="Q45" i="7"/>
  <c r="Q76" i="6"/>
  <c r="P79" i="6"/>
  <c r="Q68" i="6"/>
  <c r="P80" i="6"/>
  <c r="Q67" i="6"/>
  <c r="O79" i="6"/>
  <c r="L82" i="5"/>
  <c r="T61" i="5"/>
  <c r="T52" i="5"/>
  <c r="T58" i="5"/>
  <c r="T59" i="5"/>
  <c r="M74" i="5"/>
  <c r="R63" i="5"/>
  <c r="R62" i="5"/>
  <c r="T51" i="5"/>
  <c r="K70" i="5"/>
  <c r="M70" i="5" s="1"/>
  <c r="T50" i="5"/>
  <c r="J80" i="5"/>
  <c r="M71" i="5"/>
  <c r="J72" i="5"/>
  <c r="Q62" i="5"/>
  <c r="M72" i="5"/>
  <c r="Q63" i="5"/>
  <c r="M75" i="5"/>
  <c r="M76" i="5"/>
  <c r="M77" i="5"/>
  <c r="M73" i="5"/>
  <c r="K82" i="5"/>
  <c r="M78" i="5"/>
  <c r="M79" i="5"/>
  <c r="I81" i="5"/>
  <c r="F82" i="5"/>
  <c r="G82" i="5"/>
  <c r="F81" i="5"/>
  <c r="L81" i="5"/>
  <c r="M69" i="5"/>
  <c r="I82" i="5"/>
  <c r="J82" i="5"/>
  <c r="K81" i="5"/>
  <c r="I18" i="41"/>
  <c r="K18" i="41" s="1"/>
  <c r="F14" i="41"/>
  <c r="H33" i="4" s="1"/>
  <c r="F15" i="41"/>
  <c r="H34" i="4" s="1"/>
  <c r="F13" i="41"/>
  <c r="H32" i="4" s="1"/>
  <c r="F12" i="41"/>
  <c r="H31" i="4" s="1"/>
  <c r="F18" i="41"/>
  <c r="F16" i="41"/>
  <c r="H35" i="4" s="1"/>
  <c r="J81" i="5" l="1"/>
  <c r="M80" i="5"/>
  <c r="E122" i="51"/>
  <c r="E96" i="51"/>
  <c r="L112" i="11"/>
  <c r="Q79" i="6"/>
  <c r="T62" i="5"/>
  <c r="T63" i="5"/>
  <c r="M82" i="5"/>
  <c r="M81" i="5"/>
  <c r="K16" i="40"/>
  <c r="C77" i="4" s="1"/>
  <c r="O66" i="15" s="1"/>
  <c r="K15" i="40"/>
  <c r="C76" i="4" s="1"/>
  <c r="N66" i="15" s="1"/>
  <c r="K14" i="40"/>
  <c r="C75" i="4" s="1"/>
  <c r="M66" i="15" s="1"/>
  <c r="K13" i="40"/>
  <c r="C74" i="4" s="1"/>
  <c r="L66" i="15" s="1"/>
  <c r="K12" i="40"/>
  <c r="C73" i="4" s="1"/>
  <c r="K66" i="15" s="1"/>
  <c r="K11" i="40"/>
  <c r="C72" i="4" s="1"/>
  <c r="J66" i="15" s="1"/>
  <c r="K10" i="40"/>
  <c r="C71" i="4" s="1"/>
  <c r="I66" i="15" s="1"/>
  <c r="K9" i="40"/>
  <c r="C70" i="4" s="1"/>
  <c r="H66" i="15" s="1"/>
  <c r="K8" i="40"/>
  <c r="C69" i="4" s="1"/>
  <c r="G66" i="15" s="1"/>
  <c r="K7" i="40"/>
  <c r="C68" i="4" s="1"/>
  <c r="F66" i="15" s="1"/>
  <c r="K6" i="40"/>
  <c r="C67" i="4" s="1"/>
  <c r="E66" i="15" s="1"/>
  <c r="K5" i="40"/>
  <c r="C66" i="4" s="1"/>
  <c r="D66" i="15" s="1"/>
  <c r="F6" i="40"/>
  <c r="C26" i="4" s="1"/>
  <c r="F7" i="40"/>
  <c r="C27" i="4" s="1"/>
  <c r="F8" i="40"/>
  <c r="C28" i="4" s="1"/>
  <c r="F9" i="40"/>
  <c r="C29" i="4" s="1"/>
  <c r="F10" i="40"/>
  <c r="C30" i="4" s="1"/>
  <c r="F11" i="40"/>
  <c r="C31" i="4" s="1"/>
  <c r="F12" i="40"/>
  <c r="C32" i="4" s="1"/>
  <c r="F13" i="40"/>
  <c r="C33" i="4" s="1"/>
  <c r="F14" i="40"/>
  <c r="C34" i="4" s="1"/>
  <c r="F15" i="40"/>
  <c r="C35" i="4" s="1"/>
  <c r="F16" i="40"/>
  <c r="C36" i="4" s="1"/>
  <c r="F5" i="40"/>
  <c r="C25" i="4" s="1"/>
  <c r="H79" i="4"/>
  <c r="E79" i="4"/>
  <c r="D79" i="4"/>
  <c r="H78" i="4"/>
  <c r="E78" i="4"/>
  <c r="D78" i="4"/>
  <c r="C78" i="4"/>
  <c r="H61" i="4"/>
  <c r="G61" i="4"/>
  <c r="E61" i="4"/>
  <c r="D61" i="4"/>
  <c r="C61" i="4"/>
  <c r="H60" i="4"/>
  <c r="G60" i="4"/>
  <c r="E60" i="4"/>
  <c r="D60" i="4"/>
  <c r="C60" i="4"/>
  <c r="F59" i="4"/>
  <c r="F58" i="4"/>
  <c r="F57" i="4"/>
  <c r="F56" i="4"/>
  <c r="F55" i="4"/>
  <c r="F54" i="4"/>
  <c r="F53" i="4"/>
  <c r="F52" i="4"/>
  <c r="F51" i="4"/>
  <c r="F50" i="4"/>
  <c r="F49" i="4"/>
  <c r="F48" i="4"/>
  <c r="F61" i="4" s="1"/>
  <c r="K74" i="3"/>
  <c r="J74" i="3"/>
  <c r="I74" i="3"/>
  <c r="H74" i="3"/>
  <c r="G74" i="3"/>
  <c r="F74" i="3"/>
  <c r="E74" i="3"/>
  <c r="D74" i="3"/>
  <c r="C74" i="3"/>
  <c r="D57" i="3"/>
  <c r="C57" i="3"/>
  <c r="AG140" i="2"/>
  <c r="AF140" i="2" a="1"/>
  <c r="AF140" i="2" s="1"/>
  <c r="AC140" i="2" a="1"/>
  <c r="AC140" i="2" s="1"/>
  <c r="AB140" i="2" a="1"/>
  <c r="AB140" i="2" s="1"/>
  <c r="Y140" i="2" a="1"/>
  <c r="Y140" i="2" s="1"/>
  <c r="X140" i="2" a="1"/>
  <c r="X140" i="2" s="1"/>
  <c r="W140" i="2" a="1"/>
  <c r="W140" i="2" s="1"/>
  <c r="U140" i="2" a="1"/>
  <c r="U140" i="2" s="1"/>
  <c r="T140" i="2" a="1"/>
  <c r="T140" i="2" s="1"/>
  <c r="S140" i="2" a="1"/>
  <c r="S140" i="2" s="1"/>
  <c r="Q140" i="2" a="1"/>
  <c r="Q140" i="2" s="1"/>
  <c r="P140" i="2" a="1"/>
  <c r="P140" i="2" s="1"/>
  <c r="O140" i="2" a="1"/>
  <c r="O140" i="2" s="1"/>
  <c r="M140" i="2" a="1"/>
  <c r="M140" i="2" s="1"/>
  <c r="L140" i="2" a="1"/>
  <c r="L140" i="2" s="1"/>
  <c r="K140" i="2" a="1"/>
  <c r="K140" i="2" s="1"/>
  <c r="I140" i="2" a="1"/>
  <c r="I140" i="2" s="1"/>
  <c r="H140" i="2" a="1"/>
  <c r="H140" i="2" s="1"/>
  <c r="G140" i="2" a="1"/>
  <c r="G140" i="2" s="1"/>
  <c r="E140" i="2" a="1"/>
  <c r="E140" i="2" s="1"/>
  <c r="D140" i="2" a="1"/>
  <c r="D140" i="2" s="1"/>
  <c r="C140" i="2" a="1"/>
  <c r="C140" i="2" s="1"/>
  <c r="AD139" i="2"/>
  <c r="Z139" i="2"/>
  <c r="V139" i="2"/>
  <c r="R139" i="2"/>
  <c r="N139" i="2"/>
  <c r="J139" i="2"/>
  <c r="AO139" i="2" s="1"/>
  <c r="F139" i="2"/>
  <c r="AN139" i="2" s="1"/>
  <c r="AD138" i="2"/>
  <c r="Z138" i="2"/>
  <c r="V138" i="2"/>
  <c r="R138" i="2"/>
  <c r="N138" i="2"/>
  <c r="J138" i="2"/>
  <c r="AO138" i="2" s="1"/>
  <c r="F138" i="2"/>
  <c r="AD137" i="2"/>
  <c r="Z137" i="2"/>
  <c r="V137" i="2"/>
  <c r="R137" i="2"/>
  <c r="N137" i="2"/>
  <c r="J137" i="2"/>
  <c r="AO137" i="2" s="1"/>
  <c r="F137" i="2"/>
  <c r="AN137" i="2" s="1"/>
  <c r="AD136" i="2"/>
  <c r="Z136" i="2"/>
  <c r="V136" i="2"/>
  <c r="R136" i="2"/>
  <c r="N136" i="2"/>
  <c r="J136" i="2"/>
  <c r="F136" i="2"/>
  <c r="AI136" i="2" s="1"/>
  <c r="AD135" i="2"/>
  <c r="Z135" i="2"/>
  <c r="V135" i="2"/>
  <c r="R135" i="2"/>
  <c r="N135" i="2"/>
  <c r="J135" i="2"/>
  <c r="AO135" i="2" s="1"/>
  <c r="F135" i="2"/>
  <c r="AN135" i="2" s="1"/>
  <c r="AD134" i="2"/>
  <c r="Z134" i="2"/>
  <c r="V134" i="2"/>
  <c r="R134" i="2"/>
  <c r="N134" i="2"/>
  <c r="J134" i="2"/>
  <c r="AO134" i="2" s="1"/>
  <c r="F134" i="2"/>
  <c r="AN134" i="2" s="1"/>
  <c r="AD133" i="2"/>
  <c r="Z133" i="2"/>
  <c r="V133" i="2"/>
  <c r="R133" i="2"/>
  <c r="N133" i="2"/>
  <c r="J133" i="2"/>
  <c r="AO133" i="2" s="1"/>
  <c r="F133" i="2"/>
  <c r="AN133" i="2" s="1"/>
  <c r="AD132" i="2"/>
  <c r="Z132" i="2"/>
  <c r="V132" i="2"/>
  <c r="R132" i="2"/>
  <c r="N132" i="2"/>
  <c r="J132" i="2"/>
  <c r="AO132" i="2" s="1"/>
  <c r="F132" i="2"/>
  <c r="AN132" i="2" s="1"/>
  <c r="AD131" i="2"/>
  <c r="Z131" i="2"/>
  <c r="V131" i="2"/>
  <c r="R131" i="2"/>
  <c r="N131" i="2"/>
  <c r="J131" i="2"/>
  <c r="AO131" i="2" s="1"/>
  <c r="F131" i="2"/>
  <c r="AN131" i="2" s="1"/>
  <c r="AD130" i="2"/>
  <c r="Z130" i="2"/>
  <c r="V130" i="2"/>
  <c r="R130" i="2"/>
  <c r="N130" i="2"/>
  <c r="J130" i="2"/>
  <c r="AO130" i="2" s="1"/>
  <c r="F130" i="2"/>
  <c r="AD129" i="2"/>
  <c r="Z129" i="2"/>
  <c r="V129" i="2"/>
  <c r="R129" i="2"/>
  <c r="N129" i="2"/>
  <c r="J129" i="2"/>
  <c r="AO129" i="2" s="1"/>
  <c r="F129" i="2"/>
  <c r="AN129" i="2" s="1"/>
  <c r="AD128" i="2"/>
  <c r="Z128" i="2"/>
  <c r="V128" i="2"/>
  <c r="R128" i="2"/>
  <c r="N128" i="2"/>
  <c r="J128" i="2"/>
  <c r="AO128" i="2" s="1"/>
  <c r="F128" i="2"/>
  <c r="AN128" i="2" s="1"/>
  <c r="J114" i="2"/>
  <c r="J55" i="15" s="1"/>
  <c r="Q199" i="2"/>
  <c r="P199" i="2"/>
  <c r="O199" i="2"/>
  <c r="M199" i="2"/>
  <c r="L199" i="2"/>
  <c r="K199" i="2"/>
  <c r="I199" i="2"/>
  <c r="H199" i="2"/>
  <c r="G199" i="2"/>
  <c r="E199" i="2"/>
  <c r="D199" i="2"/>
  <c r="C199" i="2"/>
  <c r="R198" i="2"/>
  <c r="N198" i="2"/>
  <c r="J198" i="2"/>
  <c r="F198" i="2"/>
  <c r="R197" i="2"/>
  <c r="N197" i="2"/>
  <c r="J197" i="2"/>
  <c r="F197" i="2"/>
  <c r="R196" i="2"/>
  <c r="N196" i="2"/>
  <c r="J196" i="2"/>
  <c r="F196" i="2"/>
  <c r="R195" i="2"/>
  <c r="N195" i="2"/>
  <c r="J195" i="2"/>
  <c r="F195" i="2"/>
  <c r="R194" i="2"/>
  <c r="N194" i="2"/>
  <c r="J194" i="2"/>
  <c r="F194" i="2"/>
  <c r="R193" i="2"/>
  <c r="N193" i="2"/>
  <c r="J193" i="2"/>
  <c r="F193" i="2"/>
  <c r="R192" i="2"/>
  <c r="N192" i="2"/>
  <c r="J192" i="2"/>
  <c r="F192" i="2"/>
  <c r="R191" i="2"/>
  <c r="N191" i="2"/>
  <c r="J191" i="2"/>
  <c r="F191" i="2"/>
  <c r="R190" i="2"/>
  <c r="N190" i="2"/>
  <c r="J190" i="2"/>
  <c r="F190" i="2"/>
  <c r="R189" i="2"/>
  <c r="N189" i="2"/>
  <c r="J189" i="2"/>
  <c r="F189" i="2"/>
  <c r="R188" i="2"/>
  <c r="N188" i="2"/>
  <c r="J188" i="2"/>
  <c r="F188" i="2"/>
  <c r="R187" i="2"/>
  <c r="N187" i="2"/>
  <c r="J187" i="2"/>
  <c r="F187" i="2"/>
  <c r="Q180" i="2"/>
  <c r="P180" i="2"/>
  <c r="O180" i="2"/>
  <c r="M180" i="2"/>
  <c r="L180" i="2"/>
  <c r="K180" i="2"/>
  <c r="I180" i="2"/>
  <c r="H180" i="2"/>
  <c r="G180" i="2"/>
  <c r="E180" i="2"/>
  <c r="D180" i="2"/>
  <c r="C180" i="2"/>
  <c r="R179" i="2"/>
  <c r="N179" i="2"/>
  <c r="J179" i="2"/>
  <c r="F179" i="2"/>
  <c r="R178" i="2"/>
  <c r="N178" i="2"/>
  <c r="J178" i="2"/>
  <c r="F178" i="2"/>
  <c r="R177" i="2"/>
  <c r="N177" i="2"/>
  <c r="J177" i="2"/>
  <c r="F177" i="2"/>
  <c r="R176" i="2"/>
  <c r="N176" i="2"/>
  <c r="J176" i="2"/>
  <c r="F176" i="2"/>
  <c r="R175" i="2"/>
  <c r="N175" i="2"/>
  <c r="J175" i="2"/>
  <c r="F175" i="2"/>
  <c r="R174" i="2"/>
  <c r="N174" i="2"/>
  <c r="J174" i="2"/>
  <c r="F174" i="2"/>
  <c r="R173" i="2"/>
  <c r="N173" i="2"/>
  <c r="J173" i="2"/>
  <c r="F173" i="2"/>
  <c r="R172" i="2"/>
  <c r="N172" i="2"/>
  <c r="J172" i="2"/>
  <c r="F172" i="2"/>
  <c r="R171" i="2"/>
  <c r="N171" i="2"/>
  <c r="J171" i="2"/>
  <c r="F171" i="2"/>
  <c r="R170" i="2"/>
  <c r="N170" i="2"/>
  <c r="J170" i="2"/>
  <c r="F170" i="2"/>
  <c r="R169" i="2"/>
  <c r="N169" i="2"/>
  <c r="J169" i="2"/>
  <c r="F169" i="2"/>
  <c r="R168" i="2"/>
  <c r="R180" i="2" s="1"/>
  <c r="N168" i="2"/>
  <c r="J168" i="2"/>
  <c r="F168" i="2"/>
  <c r="F180" i="2" s="1"/>
  <c r="X161" i="2"/>
  <c r="W161" i="2"/>
  <c r="V161" i="2"/>
  <c r="O161" i="2"/>
  <c r="N161" i="2"/>
  <c r="L161" i="2"/>
  <c r="K161" i="2"/>
  <c r="G161" i="2"/>
  <c r="F161" i="2"/>
  <c r="D161" i="2"/>
  <c r="C161" i="2"/>
  <c r="Y160" i="2"/>
  <c r="P160" i="2"/>
  <c r="M160" i="2"/>
  <c r="H160" i="2"/>
  <c r="E160" i="2"/>
  <c r="Y159" i="2"/>
  <c r="P159" i="2"/>
  <c r="M159" i="2"/>
  <c r="H159" i="2"/>
  <c r="E159" i="2"/>
  <c r="Y158" i="2"/>
  <c r="P158" i="2"/>
  <c r="M158" i="2"/>
  <c r="H158" i="2"/>
  <c r="E158" i="2"/>
  <c r="Y157" i="2"/>
  <c r="P157" i="2"/>
  <c r="M157" i="2"/>
  <c r="H157" i="2"/>
  <c r="E157" i="2"/>
  <c r="Y156" i="2"/>
  <c r="P156" i="2"/>
  <c r="M156" i="2"/>
  <c r="H156" i="2"/>
  <c r="E156" i="2"/>
  <c r="Y155" i="2"/>
  <c r="P155" i="2"/>
  <c r="M155" i="2"/>
  <c r="H155" i="2"/>
  <c r="E155" i="2"/>
  <c r="Y154" i="2"/>
  <c r="P154" i="2"/>
  <c r="M154" i="2"/>
  <c r="H154" i="2"/>
  <c r="E154" i="2"/>
  <c r="Y153" i="2"/>
  <c r="P153" i="2"/>
  <c r="M153" i="2"/>
  <c r="H153" i="2"/>
  <c r="E153" i="2"/>
  <c r="Y152" i="2"/>
  <c r="P152" i="2"/>
  <c r="M152" i="2"/>
  <c r="H152" i="2"/>
  <c r="E152" i="2"/>
  <c r="Y151" i="2"/>
  <c r="P151" i="2"/>
  <c r="M151" i="2"/>
  <c r="H151" i="2"/>
  <c r="E151" i="2"/>
  <c r="Y150" i="2"/>
  <c r="P150" i="2"/>
  <c r="M150" i="2"/>
  <c r="H150" i="2"/>
  <c r="E150" i="2"/>
  <c r="Y149" i="2"/>
  <c r="P149" i="2"/>
  <c r="P161" i="2" s="1"/>
  <c r="M149" i="2"/>
  <c r="H149" i="2"/>
  <c r="E149" i="2"/>
  <c r="M120" i="2"/>
  <c r="K120" i="2"/>
  <c r="I120" i="2"/>
  <c r="H120" i="2"/>
  <c r="G120" i="2"/>
  <c r="F120" i="2"/>
  <c r="E120" i="2"/>
  <c r="D120" i="2"/>
  <c r="C120" i="2"/>
  <c r="L119" i="2"/>
  <c r="J119" i="2"/>
  <c r="O55" i="15" s="1"/>
  <c r="L118" i="2"/>
  <c r="J118" i="2"/>
  <c r="N55" i="15" s="1"/>
  <c r="L117" i="2"/>
  <c r="J117" i="2"/>
  <c r="M55" i="15" s="1"/>
  <c r="L116" i="2"/>
  <c r="J116" i="2"/>
  <c r="L55" i="15" s="1"/>
  <c r="L115" i="2"/>
  <c r="J115" i="2"/>
  <c r="K55" i="15" s="1"/>
  <c r="L114" i="2"/>
  <c r="L113" i="2"/>
  <c r="J113" i="2"/>
  <c r="I55" i="15" s="1"/>
  <c r="L112" i="2"/>
  <c r="J112" i="2"/>
  <c r="H55" i="15" s="1"/>
  <c r="L111" i="2"/>
  <c r="J111" i="2"/>
  <c r="G55" i="15" s="1"/>
  <c r="L110" i="2"/>
  <c r="J110" i="2"/>
  <c r="F55" i="15" s="1"/>
  <c r="L109" i="2"/>
  <c r="J109" i="2"/>
  <c r="E55" i="15" s="1"/>
  <c r="L108" i="2"/>
  <c r="J108" i="2"/>
  <c r="D55" i="15" s="1"/>
  <c r="H43" i="17"/>
  <c r="H42" i="17"/>
  <c r="J41" i="17"/>
  <c r="I41" i="17"/>
  <c r="J40" i="17"/>
  <c r="I40" i="17"/>
  <c r="J39" i="17"/>
  <c r="I39" i="17"/>
  <c r="J38" i="17"/>
  <c r="I38" i="17" s="1"/>
  <c r="J37" i="17"/>
  <c r="I37" i="17"/>
  <c r="J36" i="17"/>
  <c r="I36" i="17" s="1"/>
  <c r="J35" i="17"/>
  <c r="I35" i="17"/>
  <c r="J34" i="17"/>
  <c r="I34" i="17" s="1"/>
  <c r="J33" i="17"/>
  <c r="I33" i="17"/>
  <c r="J32" i="17"/>
  <c r="I32" i="17"/>
  <c r="J31" i="17"/>
  <c r="I31" i="17"/>
  <c r="J30" i="17"/>
  <c r="J42" i="17" s="1"/>
  <c r="Q90" i="15"/>
  <c r="P87" i="15"/>
  <c r="Q62" i="15"/>
  <c r="S153" i="2" l="1"/>
  <c r="S154" i="2"/>
  <c r="S156" i="2"/>
  <c r="S157" i="2"/>
  <c r="S158" i="2"/>
  <c r="Y161" i="2"/>
  <c r="AJ129" i="2"/>
  <c r="I89" i="51"/>
  <c r="I115" i="51"/>
  <c r="C79" i="4"/>
  <c r="P66" i="15" s="1"/>
  <c r="F60" i="4"/>
  <c r="AD140" i="2" a="1"/>
  <c r="AD140" i="2" s="1"/>
  <c r="AP128" i="2"/>
  <c r="AJ130" i="2"/>
  <c r="AI139" i="2"/>
  <c r="AI130" i="2"/>
  <c r="AI138" i="2"/>
  <c r="N140" i="2" a="1"/>
  <c r="N140" i="2" s="1"/>
  <c r="AJ132" i="2"/>
  <c r="AJ134" i="2"/>
  <c r="AJ135" i="2"/>
  <c r="AJ137" i="2"/>
  <c r="AP137" i="2"/>
  <c r="I158" i="2" s="1"/>
  <c r="AP132" i="2"/>
  <c r="AP133" i="2"/>
  <c r="AQ133" i="2" s="1"/>
  <c r="I57" i="15" s="1"/>
  <c r="AP134" i="2"/>
  <c r="I155" i="2" s="1"/>
  <c r="AJ138" i="2"/>
  <c r="AP129" i="2"/>
  <c r="I150" i="2" s="1"/>
  <c r="AI128" i="2"/>
  <c r="AI129" i="2"/>
  <c r="AK129" i="2" s="1"/>
  <c r="I153" i="2"/>
  <c r="AI131" i="2"/>
  <c r="AI132" i="2"/>
  <c r="AI134" i="2"/>
  <c r="AK134" i="2" s="1"/>
  <c r="AI137" i="2"/>
  <c r="AK137" i="2" s="1"/>
  <c r="AQ134" i="2"/>
  <c r="J57" i="15" s="1"/>
  <c r="R140" i="2" a="1"/>
  <c r="R140" i="2" s="1"/>
  <c r="AJ133" i="2"/>
  <c r="Z140" i="2" a="1"/>
  <c r="Z140" i="2" s="1"/>
  <c r="AI135" i="2"/>
  <c r="AK135" i="2" s="1"/>
  <c r="AP139" i="2"/>
  <c r="AQ132" i="2"/>
  <c r="H57" i="15" s="1"/>
  <c r="V140" i="2" a="1"/>
  <c r="V140" i="2" s="1"/>
  <c r="AI133" i="2"/>
  <c r="AJ131" i="2"/>
  <c r="AK131" i="2" s="1"/>
  <c r="R30" i="35" s="1"/>
  <c r="AP135" i="2"/>
  <c r="I156" i="2" s="1"/>
  <c r="AJ139" i="2"/>
  <c r="AO136" i="2"/>
  <c r="J140" i="2" a="1"/>
  <c r="J140" i="2" s="1"/>
  <c r="AP131" i="2"/>
  <c r="I152" i="2" s="1"/>
  <c r="AJ128" i="2"/>
  <c r="AN130" i="2"/>
  <c r="AP130" i="2" s="1"/>
  <c r="I151" i="2" s="1"/>
  <c r="AN136" i="2"/>
  <c r="F140" i="2" a="1"/>
  <c r="F140" i="2" s="1"/>
  <c r="AJ136" i="2"/>
  <c r="AN138" i="2"/>
  <c r="AP138" i="2" s="1"/>
  <c r="I159" i="2" s="1"/>
  <c r="I154" i="2"/>
  <c r="R199" i="2"/>
  <c r="N199" i="2"/>
  <c r="J199" i="2"/>
  <c r="F199" i="2"/>
  <c r="N180" i="2"/>
  <c r="J180" i="2"/>
  <c r="S149" i="2"/>
  <c r="S155" i="2"/>
  <c r="M161" i="2"/>
  <c r="S152" i="2"/>
  <c r="S160" i="2"/>
  <c r="S150" i="2"/>
  <c r="E161" i="2"/>
  <c r="Q153" i="2"/>
  <c r="Q157" i="2"/>
  <c r="Q152" i="2"/>
  <c r="Q156" i="2"/>
  <c r="Q150" i="2"/>
  <c r="Q158" i="2"/>
  <c r="Q160" i="2"/>
  <c r="Q155" i="2"/>
  <c r="Q151" i="2"/>
  <c r="Q159" i="2"/>
  <c r="L120" i="2"/>
  <c r="J120" i="2"/>
  <c r="S151" i="2"/>
  <c r="S159" i="2"/>
  <c r="H161" i="2"/>
  <c r="Q154" i="2"/>
  <c r="Q149" i="2"/>
  <c r="J43" i="17"/>
  <c r="I30" i="17"/>
  <c r="P55" i="15"/>
  <c r="Q55" i="15" s="1"/>
  <c r="P75" i="15"/>
  <c r="P85" i="15"/>
  <c r="V38" i="37"/>
  <c r="T38" i="37"/>
  <c r="O38" i="37"/>
  <c r="M38" i="37"/>
  <c r="H38" i="37"/>
  <c r="F38" i="37"/>
  <c r="V37" i="37"/>
  <c r="T37" i="37"/>
  <c r="W37" i="37" s="1"/>
  <c r="O37" i="37"/>
  <c r="M37" i="37"/>
  <c r="H37" i="37"/>
  <c r="F37" i="37"/>
  <c r="I37" i="37" s="1"/>
  <c r="V36" i="37"/>
  <c r="T36" i="37"/>
  <c r="O36" i="37"/>
  <c r="M36" i="37"/>
  <c r="H36" i="37"/>
  <c r="F36" i="37"/>
  <c r="V35" i="37"/>
  <c r="T35" i="37"/>
  <c r="O35" i="37"/>
  <c r="M35" i="37"/>
  <c r="H35" i="37"/>
  <c r="F35" i="37"/>
  <c r="I35" i="37" s="1"/>
  <c r="V34" i="37"/>
  <c r="T34" i="37"/>
  <c r="O34" i="37"/>
  <c r="M34" i="37"/>
  <c r="H34" i="37"/>
  <c r="F34" i="37"/>
  <c r="V33" i="37"/>
  <c r="T33" i="37"/>
  <c r="W33" i="37" s="1"/>
  <c r="O33" i="37"/>
  <c r="M33" i="37"/>
  <c r="H33" i="37"/>
  <c r="F33" i="37"/>
  <c r="I33" i="37" s="1"/>
  <c r="V32" i="37"/>
  <c r="T32" i="37"/>
  <c r="O32" i="37"/>
  <c r="M32" i="37"/>
  <c r="H32" i="37"/>
  <c r="F32" i="37"/>
  <c r="V31" i="37"/>
  <c r="T31" i="37"/>
  <c r="W31" i="37" s="1"/>
  <c r="O31" i="37"/>
  <c r="M31" i="37"/>
  <c r="H31" i="37"/>
  <c r="F31" i="37"/>
  <c r="I31" i="37" s="1"/>
  <c r="V30" i="37"/>
  <c r="T30" i="37"/>
  <c r="O30" i="37"/>
  <c r="M30" i="37"/>
  <c r="H30" i="37"/>
  <c r="F30" i="37"/>
  <c r="V29" i="37"/>
  <c r="T29" i="37"/>
  <c r="W29" i="37" s="1"/>
  <c r="O29" i="37"/>
  <c r="M29" i="37"/>
  <c r="H29" i="37"/>
  <c r="F29" i="37"/>
  <c r="V28" i="37"/>
  <c r="T28" i="37"/>
  <c r="O28" i="37"/>
  <c r="M28" i="37"/>
  <c r="H28" i="37"/>
  <c r="F28" i="37"/>
  <c r="V27" i="37"/>
  <c r="T27" i="37"/>
  <c r="W27" i="37" s="1"/>
  <c r="O27" i="37"/>
  <c r="M27" i="37"/>
  <c r="H27" i="37"/>
  <c r="P27" i="37" l="1"/>
  <c r="I28" i="37"/>
  <c r="W30" i="37"/>
  <c r="P31" i="37"/>
  <c r="I32" i="37"/>
  <c r="P35" i="37"/>
  <c r="I36" i="37"/>
  <c r="W38" i="37"/>
  <c r="I160" i="2"/>
  <c r="AQ139" i="2"/>
  <c r="O57" i="15" s="1"/>
  <c r="AL135" i="2"/>
  <c r="K56" i="15" s="1"/>
  <c r="R34" i="35"/>
  <c r="T158" i="2"/>
  <c r="M58" i="15" s="1"/>
  <c r="R36" i="35"/>
  <c r="AL134" i="2"/>
  <c r="J56" i="15" s="1"/>
  <c r="R33" i="35"/>
  <c r="AL129" i="2"/>
  <c r="E56" i="15" s="1"/>
  <c r="R28" i="35"/>
  <c r="AQ129" i="2"/>
  <c r="E57" i="15" s="1"/>
  <c r="AQ128" i="2"/>
  <c r="D57" i="15" s="1"/>
  <c r="I149" i="2"/>
  <c r="AK130" i="2"/>
  <c r="AK132" i="2"/>
  <c r="AK133" i="2"/>
  <c r="AL137" i="2"/>
  <c r="M56" i="15" s="1"/>
  <c r="T151" i="2"/>
  <c r="F58" i="15" s="1"/>
  <c r="AP136" i="2"/>
  <c r="I157" i="2" s="1"/>
  <c r="AQ137" i="2"/>
  <c r="M57" i="15" s="1"/>
  <c r="AK138" i="2"/>
  <c r="T150" i="2"/>
  <c r="E58" i="15" s="1"/>
  <c r="T156" i="2"/>
  <c r="K58" i="15" s="1"/>
  <c r="T155" i="2"/>
  <c r="J58" i="15" s="1"/>
  <c r="AL132" i="2"/>
  <c r="H56" i="15" s="1"/>
  <c r="AK136" i="2"/>
  <c r="AQ130" i="2"/>
  <c r="F57" i="15" s="1"/>
  <c r="AQ136" i="2"/>
  <c r="L57" i="15" s="1"/>
  <c r="AJ140" i="2" a="1"/>
  <c r="AJ140" i="2" s="1"/>
  <c r="AI140" i="2" a="1"/>
  <c r="AI140" i="2" s="1"/>
  <c r="AQ131" i="2"/>
  <c r="G57" i="15" s="1"/>
  <c r="AQ135" i="2"/>
  <c r="K57" i="15" s="1"/>
  <c r="AQ138" i="2"/>
  <c r="N57" i="15" s="1"/>
  <c r="T152" i="2"/>
  <c r="G58" i="15" s="1"/>
  <c r="AP140" i="2" a="1"/>
  <c r="AP140" i="2" s="1"/>
  <c r="AL131" i="2"/>
  <c r="G56" i="15" s="1"/>
  <c r="AK139" i="2"/>
  <c r="AK128" i="2"/>
  <c r="R27" i="35" s="1"/>
  <c r="AN140" i="2" a="1"/>
  <c r="AN140" i="2" s="1"/>
  <c r="AO140" i="2" a="1"/>
  <c r="AO140" i="2" s="1"/>
  <c r="S161" i="2"/>
  <c r="Q161" i="2"/>
  <c r="I42" i="17"/>
  <c r="I43" i="17"/>
  <c r="Q66" i="15"/>
  <c r="Q85" i="15"/>
  <c r="P34" i="37"/>
  <c r="P33" i="37"/>
  <c r="Y33" i="37" s="1"/>
  <c r="P32" i="37"/>
  <c r="P29" i="37"/>
  <c r="P37" i="37"/>
  <c r="P30" i="37"/>
  <c r="P38" i="37"/>
  <c r="P28" i="37"/>
  <c r="P36" i="37"/>
  <c r="W35" i="37"/>
  <c r="W34" i="37"/>
  <c r="W32" i="37"/>
  <c r="W28" i="37"/>
  <c r="Y28" i="37" s="1"/>
  <c r="W36" i="37"/>
  <c r="I29" i="37"/>
  <c r="I30" i="37"/>
  <c r="Y30" i="37" s="1"/>
  <c r="I38" i="37"/>
  <c r="I27" i="37"/>
  <c r="I34" i="37"/>
  <c r="Y27" i="37"/>
  <c r="Y35" i="37"/>
  <c r="Y31" i="37"/>
  <c r="Y29" i="37"/>
  <c r="Y37" i="37"/>
  <c r="L178" i="23"/>
  <c r="L179" i="23"/>
  <c r="L180" i="23"/>
  <c r="O180" i="23" s="1"/>
  <c r="L181" i="23"/>
  <c r="L182" i="23"/>
  <c r="O182" i="23" s="1"/>
  <c r="L183" i="23"/>
  <c r="L184" i="23"/>
  <c r="O184" i="23" s="1"/>
  <c r="L185" i="23"/>
  <c r="O185" i="23" s="1"/>
  <c r="L186" i="23"/>
  <c r="O186" i="23" s="1"/>
  <c r="L187" i="23"/>
  <c r="L188" i="23"/>
  <c r="L177" i="23"/>
  <c r="D178" i="23"/>
  <c r="D179" i="23"/>
  <c r="D180" i="23"/>
  <c r="D181" i="23"/>
  <c r="D182" i="23"/>
  <c r="D183" i="23"/>
  <c r="D184" i="23"/>
  <c r="D185" i="23"/>
  <c r="D186" i="23"/>
  <c r="D187" i="23"/>
  <c r="D188" i="23"/>
  <c r="D177" i="23"/>
  <c r="G132" i="23"/>
  <c r="H132" i="23" s="1"/>
  <c r="G133" i="23"/>
  <c r="H133" i="23" s="1"/>
  <c r="G134" i="23"/>
  <c r="H134" i="23" s="1"/>
  <c r="G135" i="23"/>
  <c r="H135" i="23" s="1"/>
  <c r="G136" i="23"/>
  <c r="H136" i="23" s="1"/>
  <c r="G137" i="23"/>
  <c r="G138" i="23"/>
  <c r="H138" i="23" s="1"/>
  <c r="J117" i="23"/>
  <c r="I118" i="23"/>
  <c r="J118" i="23" s="1"/>
  <c r="I119" i="23"/>
  <c r="J119" i="23" s="1"/>
  <c r="I120" i="23"/>
  <c r="J120" i="23" s="1"/>
  <c r="I121" i="23"/>
  <c r="J121" i="23" s="1"/>
  <c r="I122" i="23"/>
  <c r="J122" i="23" s="1"/>
  <c r="I123" i="23"/>
  <c r="J123" i="23" s="1"/>
  <c r="I124" i="23"/>
  <c r="J124" i="23" s="1"/>
  <c r="H203" i="23"/>
  <c r="H202" i="23"/>
  <c r="H201" i="23"/>
  <c r="H200" i="23"/>
  <c r="H199" i="23"/>
  <c r="H198" i="23"/>
  <c r="H197" i="23"/>
  <c r="H196" i="23"/>
  <c r="H195" i="23"/>
  <c r="H194" i="23"/>
  <c r="H193" i="23"/>
  <c r="H192" i="23"/>
  <c r="O188" i="23"/>
  <c r="H188" i="23"/>
  <c r="J188" i="23" s="1"/>
  <c r="K188" i="23" s="1"/>
  <c r="O187" i="23"/>
  <c r="H187" i="23"/>
  <c r="J187" i="23"/>
  <c r="K187" i="23" s="1"/>
  <c r="H186" i="23"/>
  <c r="H185" i="23"/>
  <c r="H184" i="23"/>
  <c r="J184" i="23" s="1"/>
  <c r="K184" i="23" s="1"/>
  <c r="O183" i="23"/>
  <c r="H183" i="23"/>
  <c r="J183" i="23" s="1"/>
  <c r="K183" i="23" s="1"/>
  <c r="H182" i="23"/>
  <c r="J182" i="23"/>
  <c r="K182" i="23" s="1"/>
  <c r="O181" i="23"/>
  <c r="H181" i="23"/>
  <c r="H180" i="23"/>
  <c r="O179" i="23"/>
  <c r="H179" i="23"/>
  <c r="J179" i="23" s="1"/>
  <c r="K179" i="23" s="1"/>
  <c r="O178" i="23"/>
  <c r="H178" i="23"/>
  <c r="O177" i="23"/>
  <c r="H177" i="23"/>
  <c r="N173" i="23"/>
  <c r="H173" i="23"/>
  <c r="N172" i="23"/>
  <c r="H172" i="23"/>
  <c r="H171" i="23"/>
  <c r="N170" i="23"/>
  <c r="H170" i="23"/>
  <c r="N169" i="23"/>
  <c r="H169" i="23"/>
  <c r="P169" i="23" s="1"/>
  <c r="N168" i="23"/>
  <c r="H168" i="23"/>
  <c r="P168" i="23" s="1"/>
  <c r="N167" i="23"/>
  <c r="H167" i="23"/>
  <c r="N166" i="23"/>
  <c r="H166" i="23"/>
  <c r="P166" i="23" s="1"/>
  <c r="N165" i="23"/>
  <c r="H165" i="23"/>
  <c r="P165" i="23" s="1"/>
  <c r="N164" i="23"/>
  <c r="H164" i="23"/>
  <c r="P164" i="23" s="1"/>
  <c r="N163" i="23"/>
  <c r="H163" i="23"/>
  <c r="N162" i="23"/>
  <c r="P162" i="23"/>
  <c r="I158" i="23"/>
  <c r="I157" i="23"/>
  <c r="I156" i="23"/>
  <c r="I155" i="23"/>
  <c r="I154" i="23"/>
  <c r="M151" i="23"/>
  <c r="M150" i="23"/>
  <c r="G143" i="23"/>
  <c r="H143" i="23" s="1"/>
  <c r="G142" i="23"/>
  <c r="H142" i="23" s="1"/>
  <c r="G141" i="23"/>
  <c r="H141" i="23" s="1"/>
  <c r="G140" i="23"/>
  <c r="H140" i="23" s="1"/>
  <c r="K139" i="23"/>
  <c r="G139" i="23"/>
  <c r="H139" i="23" s="1"/>
  <c r="K138" i="23"/>
  <c r="I128" i="23"/>
  <c r="J128" i="23" s="1"/>
  <c r="I127" i="23"/>
  <c r="I126" i="23"/>
  <c r="J126" i="23" s="1"/>
  <c r="I125" i="23"/>
  <c r="M124" i="23"/>
  <c r="M123" i="23"/>
  <c r="F27" i="22"/>
  <c r="F28" i="22"/>
  <c r="F29" i="22"/>
  <c r="F30" i="22"/>
  <c r="F31" i="22"/>
  <c r="F32" i="22"/>
  <c r="F33" i="22"/>
  <c r="F34" i="22"/>
  <c r="F35" i="22"/>
  <c r="F36" i="22"/>
  <c r="F37" i="22"/>
  <c r="E27" i="22"/>
  <c r="E28" i="22"/>
  <c r="E29" i="22"/>
  <c r="E30" i="22"/>
  <c r="E31" i="22"/>
  <c r="E32" i="22"/>
  <c r="E33" i="22"/>
  <c r="E34" i="22"/>
  <c r="E35" i="22"/>
  <c r="E36" i="22"/>
  <c r="E37" i="22"/>
  <c r="D27" i="22"/>
  <c r="D28" i="22"/>
  <c r="D29" i="22"/>
  <c r="D30" i="22"/>
  <c r="G30" i="22" s="1"/>
  <c r="D31" i="22"/>
  <c r="D32" i="22"/>
  <c r="D33" i="22"/>
  <c r="D34" i="22"/>
  <c r="D35" i="22"/>
  <c r="D36" i="22"/>
  <c r="D37" i="22"/>
  <c r="F26" i="22"/>
  <c r="E26" i="22"/>
  <c r="D26" i="22"/>
  <c r="G27" i="22"/>
  <c r="DP36" i="27"/>
  <c r="DK36" i="27"/>
  <c r="DF36" i="27"/>
  <c r="DA36" i="27"/>
  <c r="CV36" i="27"/>
  <c r="CQ36" i="27"/>
  <c r="CL36" i="27"/>
  <c r="CG36" i="27"/>
  <c r="CB36" i="27"/>
  <c r="BW36" i="27"/>
  <c r="BR36" i="27"/>
  <c r="BM36" i="27"/>
  <c r="DO35" i="26"/>
  <c r="DO38" i="26" s="1"/>
  <c r="D128" i="21" s="1"/>
  <c r="H128" i="21" s="1"/>
  <c r="I128" i="21" s="1"/>
  <c r="DJ35" i="26"/>
  <c r="DJ38" i="26" s="1"/>
  <c r="D127" i="21" s="1"/>
  <c r="H127" i="21" s="1"/>
  <c r="DE35" i="26"/>
  <c r="DE38" i="26" s="1"/>
  <c r="D126" i="21" s="1"/>
  <c r="H126" i="21" s="1"/>
  <c r="CZ35" i="26"/>
  <c r="CZ38" i="26" s="1"/>
  <c r="D125" i="21" s="1"/>
  <c r="H125" i="21" s="1"/>
  <c r="CU35" i="26"/>
  <c r="CU38" i="26" s="1"/>
  <c r="D124" i="21" s="1"/>
  <c r="H124" i="21" s="1"/>
  <c r="I124" i="21" s="1"/>
  <c r="CP35" i="26"/>
  <c r="CP38" i="26" s="1"/>
  <c r="D123" i="21" s="1"/>
  <c r="H123" i="21" s="1"/>
  <c r="CK35" i="26"/>
  <c r="CK38" i="26" s="1"/>
  <c r="D122" i="21" s="1"/>
  <c r="H122" i="21" s="1"/>
  <c r="CF35" i="26"/>
  <c r="CF38" i="26" s="1"/>
  <c r="D121" i="21" s="1"/>
  <c r="H121" i="21" s="1"/>
  <c r="CA35" i="26"/>
  <c r="CA38" i="26" s="1"/>
  <c r="D120" i="21" s="1"/>
  <c r="H120" i="21" s="1"/>
  <c r="BV35" i="26"/>
  <c r="BV38" i="26" s="1"/>
  <c r="D119" i="21" s="1"/>
  <c r="H119" i="21" s="1"/>
  <c r="BQ35" i="26"/>
  <c r="BQ38" i="26" s="1"/>
  <c r="D118" i="21" s="1"/>
  <c r="H118" i="21" s="1"/>
  <c r="BL35" i="26"/>
  <c r="BL38" i="26" s="1"/>
  <c r="D117" i="21" s="1"/>
  <c r="H117" i="21" s="1"/>
  <c r="J113" i="21"/>
  <c r="K113" i="21" s="1"/>
  <c r="E44" i="14" s="1"/>
  <c r="J112" i="21"/>
  <c r="K112" i="21" s="1"/>
  <c r="E43" i="14" s="1"/>
  <c r="J111" i="21"/>
  <c r="K111" i="21" s="1"/>
  <c r="E42" i="14" s="1"/>
  <c r="J110" i="21"/>
  <c r="K110" i="21" s="1"/>
  <c r="E41" i="14" s="1"/>
  <c r="J109" i="21"/>
  <c r="K109" i="21" s="1"/>
  <c r="E40" i="14" s="1"/>
  <c r="J108" i="21"/>
  <c r="K108" i="21" s="1"/>
  <c r="E39" i="14" s="1"/>
  <c r="J107" i="21"/>
  <c r="K107" i="21" s="1"/>
  <c r="E38" i="14" s="1"/>
  <c r="J106" i="21"/>
  <c r="K106" i="21" s="1"/>
  <c r="E37" i="14" s="1"/>
  <c r="J105" i="21"/>
  <c r="K105" i="21" s="1"/>
  <c r="E36" i="14" s="1"/>
  <c r="J104" i="21"/>
  <c r="K104" i="21" s="1"/>
  <c r="E35" i="14" s="1"/>
  <c r="J103" i="21"/>
  <c r="K103" i="21" s="1"/>
  <c r="E34" i="14" s="1"/>
  <c r="J102" i="21"/>
  <c r="K102" i="21" s="1"/>
  <c r="E33" i="14" s="1"/>
  <c r="BM39" i="27" l="1"/>
  <c r="D132" i="21" s="1"/>
  <c r="H132" i="21" s="1"/>
  <c r="I132" i="21" s="1"/>
  <c r="G50" i="5"/>
  <c r="BR39" i="27"/>
  <c r="D133" i="21" s="1"/>
  <c r="H133" i="21" s="1"/>
  <c r="I133" i="21" s="1"/>
  <c r="G51" i="5"/>
  <c r="E70" i="5" s="1"/>
  <c r="BW39" i="27"/>
  <c r="D134" i="21" s="1"/>
  <c r="H134" i="21" s="1"/>
  <c r="I134" i="21" s="1"/>
  <c r="G52" i="5"/>
  <c r="E71" i="5" s="1"/>
  <c r="CB39" i="27"/>
  <c r="D135" i="21" s="1"/>
  <c r="H135" i="21" s="1"/>
  <c r="I135" i="21" s="1"/>
  <c r="G53" i="5"/>
  <c r="E72" i="5" s="1"/>
  <c r="CG39" i="27"/>
  <c r="D136" i="21" s="1"/>
  <c r="H136" i="21" s="1"/>
  <c r="I136" i="21" s="1"/>
  <c r="G54" i="5"/>
  <c r="E73" i="5" s="1"/>
  <c r="CL39" i="27"/>
  <c r="H137" i="21" s="1"/>
  <c r="I137" i="21" s="1"/>
  <c r="G55" i="5"/>
  <c r="E74" i="5" s="1"/>
  <c r="G56" i="5"/>
  <c r="E75" i="5" s="1"/>
  <c r="CQ39" i="27"/>
  <c r="D138" i="21" s="1"/>
  <c r="H138" i="21" s="1"/>
  <c r="I138" i="21" s="1"/>
  <c r="CV39" i="27"/>
  <c r="D139" i="21" s="1"/>
  <c r="H139" i="21" s="1"/>
  <c r="I139" i="21" s="1"/>
  <c r="G57" i="5"/>
  <c r="E76" i="5" s="1"/>
  <c r="DA39" i="27"/>
  <c r="D140" i="21" s="1"/>
  <c r="H140" i="21" s="1"/>
  <c r="I140" i="21" s="1"/>
  <c r="G58" i="5"/>
  <c r="E77" i="5" s="1"/>
  <c r="DF39" i="27"/>
  <c r="D141" i="21" s="1"/>
  <c r="H141" i="21" s="1"/>
  <c r="I141" i="21" s="1"/>
  <c r="G59" i="5"/>
  <c r="E78" i="5" s="1"/>
  <c r="G60" i="5"/>
  <c r="E79" i="5" s="1"/>
  <c r="DK39" i="27"/>
  <c r="D142" i="21" s="1"/>
  <c r="H142" i="21" s="1"/>
  <c r="I142" i="21" s="1"/>
  <c r="DP39" i="27"/>
  <c r="D143" i="21" s="1"/>
  <c r="H143" i="21" s="1"/>
  <c r="I143" i="21" s="1"/>
  <c r="G61" i="5"/>
  <c r="E80" i="5" s="1"/>
  <c r="G34" i="22"/>
  <c r="G33" i="22"/>
  <c r="G32" i="22"/>
  <c r="G35" i="22"/>
  <c r="W83" i="46"/>
  <c r="X83" i="46" s="1"/>
  <c r="N33" i="43"/>
  <c r="C40" i="17"/>
  <c r="X94" i="28"/>
  <c r="N30" i="25"/>
  <c r="W75" i="46"/>
  <c r="X75" i="46" s="1"/>
  <c r="F33" i="43"/>
  <c r="C32" i="17"/>
  <c r="X86" i="28"/>
  <c r="F30" i="25"/>
  <c r="W77" i="46"/>
  <c r="X77" i="46" s="1"/>
  <c r="H33" i="43"/>
  <c r="C34" i="17"/>
  <c r="X88" i="28"/>
  <c r="H30" i="25"/>
  <c r="W81" i="46"/>
  <c r="X81" i="46" s="1"/>
  <c r="L33" i="43"/>
  <c r="C38" i="17"/>
  <c r="X92" i="28"/>
  <c r="L30" i="25"/>
  <c r="W73" i="46"/>
  <c r="X73" i="46" s="1"/>
  <c r="D33" i="43"/>
  <c r="C30" i="17"/>
  <c r="X84" i="28"/>
  <c r="D30" i="25"/>
  <c r="W76" i="46"/>
  <c r="X76" i="46" s="1"/>
  <c r="G33" i="43"/>
  <c r="C33" i="17"/>
  <c r="X87" i="28"/>
  <c r="G30" i="25"/>
  <c r="W74" i="46"/>
  <c r="X74" i="46" s="1"/>
  <c r="E33" i="43"/>
  <c r="C31" i="17"/>
  <c r="X85" i="28"/>
  <c r="E30" i="25"/>
  <c r="W39" i="37"/>
  <c r="P39" i="37"/>
  <c r="Y38" i="37"/>
  <c r="Y32" i="37"/>
  <c r="W79" i="46"/>
  <c r="X79" i="46" s="1"/>
  <c r="J33" i="43"/>
  <c r="C36" i="17"/>
  <c r="X90" i="28"/>
  <c r="J30" i="25"/>
  <c r="AL139" i="2"/>
  <c r="O56" i="15" s="1"/>
  <c r="R38" i="35"/>
  <c r="T157" i="2"/>
  <c r="L58" i="15" s="1"/>
  <c r="R35" i="35"/>
  <c r="AL138" i="2"/>
  <c r="N56" i="15" s="1"/>
  <c r="R37" i="35"/>
  <c r="T154" i="2"/>
  <c r="I58" i="15" s="1"/>
  <c r="R32" i="35"/>
  <c r="T153" i="2"/>
  <c r="H58" i="15" s="1"/>
  <c r="R31" i="35"/>
  <c r="AL130" i="2"/>
  <c r="F56" i="15" s="1"/>
  <c r="R29" i="35"/>
  <c r="I161" i="2"/>
  <c r="M142" i="23"/>
  <c r="J43" i="14" s="1"/>
  <c r="J185" i="23"/>
  <c r="K185" i="23" s="1"/>
  <c r="J147" i="23"/>
  <c r="K33" i="14"/>
  <c r="J148" i="23"/>
  <c r="K34" i="14"/>
  <c r="J154" i="23"/>
  <c r="K40" i="14"/>
  <c r="Q166" i="23"/>
  <c r="L37" i="14"/>
  <c r="M135" i="23"/>
  <c r="J36" i="14" s="1"/>
  <c r="Q164" i="23"/>
  <c r="L35" i="14"/>
  <c r="J150" i="23"/>
  <c r="K36" i="14"/>
  <c r="J156" i="23"/>
  <c r="K42" i="14"/>
  <c r="J149" i="23"/>
  <c r="K35" i="14"/>
  <c r="Q168" i="23"/>
  <c r="L39" i="14"/>
  <c r="J157" i="23"/>
  <c r="K43" i="14"/>
  <c r="Q165" i="23"/>
  <c r="L36" i="14"/>
  <c r="Q169" i="23"/>
  <c r="L40" i="14"/>
  <c r="Q162" i="23"/>
  <c r="L33" i="14"/>
  <c r="J152" i="23"/>
  <c r="K38" i="14"/>
  <c r="J153" i="23"/>
  <c r="K39" i="14"/>
  <c r="J155" i="23"/>
  <c r="K41" i="14"/>
  <c r="M140" i="23"/>
  <c r="J41" i="14" s="1"/>
  <c r="J151" i="23"/>
  <c r="K37" i="14"/>
  <c r="J158" i="23"/>
  <c r="K44" i="14"/>
  <c r="H33" i="22"/>
  <c r="J33" i="22" s="1"/>
  <c r="C57" i="5"/>
  <c r="D64" i="24"/>
  <c r="E64" i="24" s="1"/>
  <c r="G64" i="24" s="1"/>
  <c r="I64" i="24" s="1"/>
  <c r="J64" i="24" s="1"/>
  <c r="H32" i="22"/>
  <c r="J32" i="22" s="1"/>
  <c r="C56" i="5"/>
  <c r="D63" i="24"/>
  <c r="E63" i="24" s="1"/>
  <c r="G63" i="24" s="1"/>
  <c r="I63" i="24" s="1"/>
  <c r="J63" i="24" s="1"/>
  <c r="H30" i="22"/>
  <c r="J30" i="22" s="1"/>
  <c r="C54" i="5"/>
  <c r="D61" i="24"/>
  <c r="E61" i="24" s="1"/>
  <c r="G61" i="24" s="1"/>
  <c r="I61" i="24" s="1"/>
  <c r="J61" i="24" s="1"/>
  <c r="H35" i="22"/>
  <c r="J35" i="22" s="1"/>
  <c r="C59" i="5"/>
  <c r="D66" i="24"/>
  <c r="E66" i="24" s="1"/>
  <c r="G66" i="24" s="1"/>
  <c r="I66" i="24" s="1"/>
  <c r="J66" i="24" s="1"/>
  <c r="H27" i="22"/>
  <c r="J27" i="22" s="1"/>
  <c r="C51" i="5"/>
  <c r="E5" i="51" s="1"/>
  <c r="D58" i="24"/>
  <c r="E58" i="24" s="1"/>
  <c r="G58" i="24" s="1"/>
  <c r="I58" i="24" s="1"/>
  <c r="J58" i="24" s="1"/>
  <c r="G31" i="22"/>
  <c r="H34" i="22"/>
  <c r="J34" i="22" s="1"/>
  <c r="C58" i="5"/>
  <c r="D65" i="24"/>
  <c r="E65" i="24" s="1"/>
  <c r="G65" i="24" s="1"/>
  <c r="I65" i="24" s="1"/>
  <c r="J65" i="24" s="1"/>
  <c r="I117" i="21"/>
  <c r="K117" i="21"/>
  <c r="D33" i="14" s="1"/>
  <c r="E45" i="14"/>
  <c r="I118" i="21"/>
  <c r="K118" i="21"/>
  <c r="D34" i="14" s="1"/>
  <c r="I119" i="21"/>
  <c r="K119" i="21"/>
  <c r="D35" i="14" s="1"/>
  <c r="I122" i="21"/>
  <c r="K122" i="21"/>
  <c r="D38" i="14" s="1"/>
  <c r="I120" i="21"/>
  <c r="K120" i="21"/>
  <c r="D36" i="14" s="1"/>
  <c r="I121" i="21"/>
  <c r="K121" i="21"/>
  <c r="D37" i="14" s="1"/>
  <c r="T159" i="2"/>
  <c r="N58" i="15" s="1"/>
  <c r="AL133" i="2"/>
  <c r="I56" i="15" s="1"/>
  <c r="AQ140" i="2" a="1"/>
  <c r="AQ140" i="2" s="1"/>
  <c r="Q57" i="15" s="1"/>
  <c r="AK140" i="2" a="1"/>
  <c r="AK140" i="2" s="1"/>
  <c r="AL136" i="2"/>
  <c r="AL128" i="2"/>
  <c r="D56" i="15" s="1"/>
  <c r="T160" i="2"/>
  <c r="O58" i="15" s="1"/>
  <c r="T149" i="2"/>
  <c r="D58" i="15" s="1"/>
  <c r="P58" i="15" s="1"/>
  <c r="Y36" i="37"/>
  <c r="Y34" i="37"/>
  <c r="I39" i="37"/>
  <c r="Y39" i="37"/>
  <c r="P170" i="23"/>
  <c r="P172" i="23"/>
  <c r="R179" i="23"/>
  <c r="H35" i="14" s="1"/>
  <c r="P179" i="23"/>
  <c r="Q179" i="23" s="1"/>
  <c r="N171" i="23"/>
  <c r="P171" i="23" s="1"/>
  <c r="J178" i="23"/>
  <c r="K178" i="23" s="1"/>
  <c r="R183" i="23"/>
  <c r="H39" i="14" s="1"/>
  <c r="R187" i="23"/>
  <c r="H43" i="14" s="1"/>
  <c r="J180" i="23"/>
  <c r="K180" i="23" s="1"/>
  <c r="P183" i="23"/>
  <c r="Q183" i="23" s="1"/>
  <c r="J186" i="23"/>
  <c r="K186" i="23" s="1"/>
  <c r="P187" i="23"/>
  <c r="Q187" i="23" s="1"/>
  <c r="P173" i="23"/>
  <c r="J125" i="23"/>
  <c r="M141" i="23"/>
  <c r="J42" i="14" s="1"/>
  <c r="P163" i="23"/>
  <c r="P167" i="23"/>
  <c r="J177" i="23"/>
  <c r="K177" i="23" s="1"/>
  <c r="J181" i="23"/>
  <c r="K181" i="23" s="1"/>
  <c r="M137" i="23"/>
  <c r="J38" i="14" s="1"/>
  <c r="M139" i="23"/>
  <c r="J40" i="14" s="1"/>
  <c r="M134" i="23"/>
  <c r="J35" i="14" s="1"/>
  <c r="M132" i="23"/>
  <c r="J33" i="14" s="1"/>
  <c r="H137" i="23"/>
  <c r="M143" i="23"/>
  <c r="J44" i="14" s="1"/>
  <c r="M138" i="23"/>
  <c r="J39" i="14" s="1"/>
  <c r="P178" i="23"/>
  <c r="P186" i="23"/>
  <c r="R182" i="23"/>
  <c r="H38" i="14" s="1"/>
  <c r="P182" i="23"/>
  <c r="Q182" i="23" s="1"/>
  <c r="R184" i="23"/>
  <c r="H40" i="14" s="1"/>
  <c r="R188" i="23"/>
  <c r="H44" i="14" s="1"/>
  <c r="P177" i="23"/>
  <c r="P181" i="23"/>
  <c r="Q181" i="23" s="1"/>
  <c r="P185" i="23"/>
  <c r="M133" i="23"/>
  <c r="J34" i="14" s="1"/>
  <c r="P180" i="23"/>
  <c r="P188" i="23"/>
  <c r="Q188" i="23" s="1"/>
  <c r="J127" i="23"/>
  <c r="M136" i="23"/>
  <c r="J37" i="14" s="1"/>
  <c r="P184" i="23"/>
  <c r="Q184" i="23" s="1"/>
  <c r="G28" i="22"/>
  <c r="G37" i="22"/>
  <c r="G29" i="22"/>
  <c r="G36" i="22"/>
  <c r="G26" i="22"/>
  <c r="K126" i="21"/>
  <c r="D42" i="14" s="1"/>
  <c r="K123" i="21"/>
  <c r="D39" i="14" s="1"/>
  <c r="I123" i="21"/>
  <c r="K125" i="21"/>
  <c r="D41" i="14" s="1"/>
  <c r="I125" i="21"/>
  <c r="K127" i="21"/>
  <c r="D43" i="14" s="1"/>
  <c r="I127" i="21"/>
  <c r="I126" i="21"/>
  <c r="K124" i="21"/>
  <c r="D40" i="14" s="1"/>
  <c r="K128" i="21"/>
  <c r="D44" i="14" s="1"/>
  <c r="V16" i="37"/>
  <c r="T16" i="37"/>
  <c r="H16" i="37"/>
  <c r="F16" i="37"/>
  <c r="V15" i="37"/>
  <c r="T15" i="37"/>
  <c r="O15" i="37"/>
  <c r="M15" i="37"/>
  <c r="H15" i="37"/>
  <c r="F15" i="37"/>
  <c r="V14" i="37"/>
  <c r="T14" i="37"/>
  <c r="O14" i="37"/>
  <c r="M14" i="37"/>
  <c r="H14" i="37"/>
  <c r="F14" i="37"/>
  <c r="V13" i="37"/>
  <c r="T13" i="37"/>
  <c r="O13" i="37"/>
  <c r="M13" i="37"/>
  <c r="H13" i="37"/>
  <c r="F13" i="37"/>
  <c r="V12" i="37"/>
  <c r="T12" i="37"/>
  <c r="O12" i="37"/>
  <c r="M12" i="37"/>
  <c r="H12" i="37"/>
  <c r="F12" i="37"/>
  <c r="V11" i="37"/>
  <c r="T11" i="37"/>
  <c r="O11" i="37"/>
  <c r="M11" i="37"/>
  <c r="H11" i="37"/>
  <c r="F11" i="37"/>
  <c r="V10" i="37"/>
  <c r="T10" i="37"/>
  <c r="O10" i="37"/>
  <c r="M10" i="37"/>
  <c r="H10" i="37"/>
  <c r="F10" i="37"/>
  <c r="V9" i="37"/>
  <c r="T9" i="37"/>
  <c r="O9" i="37"/>
  <c r="M9" i="37"/>
  <c r="H9" i="37"/>
  <c r="F9" i="37"/>
  <c r="V8" i="37"/>
  <c r="T8" i="37"/>
  <c r="O8" i="37"/>
  <c r="M8" i="37"/>
  <c r="H8" i="37"/>
  <c r="F8" i="37"/>
  <c r="V7" i="37"/>
  <c r="T7" i="37"/>
  <c r="O7" i="37"/>
  <c r="M7" i="37"/>
  <c r="H7" i="37"/>
  <c r="F7" i="37"/>
  <c r="V6" i="37"/>
  <c r="T6" i="37"/>
  <c r="O6" i="37"/>
  <c r="M6" i="37"/>
  <c r="H6" i="37"/>
  <c r="F6" i="37"/>
  <c r="V5" i="37"/>
  <c r="T5" i="37"/>
  <c r="O5" i="37"/>
  <c r="M5" i="37"/>
  <c r="H5" i="37"/>
  <c r="F5" i="37"/>
  <c r="I12" i="37" l="1"/>
  <c r="P13" i="37"/>
  <c r="W14" i="37"/>
  <c r="W80" i="46"/>
  <c r="X80" i="46" s="1"/>
  <c r="K33" i="43"/>
  <c r="C37" i="17"/>
  <c r="X91" i="28"/>
  <c r="K30" i="25"/>
  <c r="W82" i="46"/>
  <c r="M33" i="43"/>
  <c r="C39" i="17"/>
  <c r="X93" i="28"/>
  <c r="M30" i="25"/>
  <c r="AL140" i="2" a="1"/>
  <c r="AL140" i="2" s="1"/>
  <c r="Q56" i="15" s="1"/>
  <c r="L56" i="15"/>
  <c r="Y77" i="30"/>
  <c r="V89" i="29"/>
  <c r="D195" i="51"/>
  <c r="D168" i="51"/>
  <c r="D142" i="51"/>
  <c r="F142" i="51" s="1"/>
  <c r="D116" i="51"/>
  <c r="F116" i="51" s="1"/>
  <c r="D90" i="51"/>
  <c r="F90" i="51" s="1"/>
  <c r="D64" i="51"/>
  <c r="D37" i="51"/>
  <c r="D10" i="51"/>
  <c r="L36" i="17"/>
  <c r="J53" i="15" s="1"/>
  <c r="K53" i="42"/>
  <c r="K54" i="42" s="1"/>
  <c r="J34" i="43"/>
  <c r="W78" i="46"/>
  <c r="X78" i="46" s="1"/>
  <c r="I33" i="43"/>
  <c r="C35" i="17"/>
  <c r="X89" i="28"/>
  <c r="I30" i="25"/>
  <c r="W84" i="46"/>
  <c r="X84" i="46" s="1"/>
  <c r="O33" i="43"/>
  <c r="C41" i="17"/>
  <c r="X95" i="28"/>
  <c r="O30" i="25"/>
  <c r="Y72" i="30"/>
  <c r="V84" i="29"/>
  <c r="L31" i="17"/>
  <c r="E53" i="15" s="1"/>
  <c r="D5" i="51"/>
  <c r="D190" i="51"/>
  <c r="D163" i="51"/>
  <c r="D137" i="51"/>
  <c r="F137" i="51" s="1"/>
  <c r="D111" i="51"/>
  <c r="D85" i="51"/>
  <c r="F85" i="51" s="1"/>
  <c r="D32" i="51"/>
  <c r="D59" i="51"/>
  <c r="F53" i="42"/>
  <c r="F54" i="42" s="1"/>
  <c r="E34" i="43"/>
  <c r="Y74" i="30"/>
  <c r="V86" i="29"/>
  <c r="L33" i="17"/>
  <c r="G53" i="15" s="1"/>
  <c r="D192" i="51"/>
  <c r="D165" i="51"/>
  <c r="D139" i="51"/>
  <c r="F139" i="51" s="1"/>
  <c r="D113" i="51"/>
  <c r="F113" i="51" s="1"/>
  <c r="D87" i="51"/>
  <c r="F87" i="51" s="1"/>
  <c r="D34" i="51"/>
  <c r="D61" i="51"/>
  <c r="D7" i="51"/>
  <c r="H53" i="42"/>
  <c r="H54" i="42" s="1"/>
  <c r="G34" i="43"/>
  <c r="Q27" i="25"/>
  <c r="Q28" i="25"/>
  <c r="Y71" i="30"/>
  <c r="V83" i="29"/>
  <c r="D4" i="51"/>
  <c r="D189" i="51"/>
  <c r="D162" i="51"/>
  <c r="D136" i="51"/>
  <c r="D110" i="51"/>
  <c r="D84" i="51"/>
  <c r="D31" i="51"/>
  <c r="D58" i="51"/>
  <c r="C42" i="17"/>
  <c r="C43" i="17"/>
  <c r="L30" i="17"/>
  <c r="E53" i="42"/>
  <c r="D34" i="43"/>
  <c r="D35" i="43"/>
  <c r="D36" i="43" s="1"/>
  <c r="Y79" i="30"/>
  <c r="V91" i="29"/>
  <c r="D197" i="51"/>
  <c r="D170" i="51"/>
  <c r="D144" i="51"/>
  <c r="F144" i="51" s="1"/>
  <c r="D118" i="51"/>
  <c r="F118" i="51" s="1"/>
  <c r="D92" i="51"/>
  <c r="F92" i="51" s="1"/>
  <c r="D66" i="51"/>
  <c r="D39" i="51"/>
  <c r="D12" i="51"/>
  <c r="L38" i="17"/>
  <c r="L53" i="15" s="1"/>
  <c r="M53" i="42"/>
  <c r="M54" i="42" s="1"/>
  <c r="L34" i="43"/>
  <c r="Y75" i="30"/>
  <c r="V87" i="29"/>
  <c r="D193" i="51"/>
  <c r="D166" i="51"/>
  <c r="D140" i="51"/>
  <c r="F140" i="51" s="1"/>
  <c r="D114" i="51"/>
  <c r="F114" i="51" s="1"/>
  <c r="D88" i="51"/>
  <c r="F88" i="51" s="1"/>
  <c r="D62" i="51"/>
  <c r="D35" i="51"/>
  <c r="D8" i="51"/>
  <c r="L34" i="17"/>
  <c r="H53" i="15" s="1"/>
  <c r="I53" i="42"/>
  <c r="I54" i="42" s="1"/>
  <c r="H34" i="43"/>
  <c r="Y73" i="30"/>
  <c r="V85" i="29"/>
  <c r="D6" i="51"/>
  <c r="D191" i="51"/>
  <c r="D164" i="51"/>
  <c r="D138" i="51"/>
  <c r="F138" i="51" s="1"/>
  <c r="D112" i="51"/>
  <c r="F112" i="51" s="1"/>
  <c r="D86" i="51"/>
  <c r="F86" i="51" s="1"/>
  <c r="D33" i="51"/>
  <c r="D60" i="51"/>
  <c r="L32" i="17"/>
  <c r="F53" i="15" s="1"/>
  <c r="G53" i="42"/>
  <c r="G54" i="42" s="1"/>
  <c r="F34" i="43"/>
  <c r="Y81" i="30"/>
  <c r="V93" i="29"/>
  <c r="D199" i="51"/>
  <c r="D172" i="51"/>
  <c r="D146" i="51"/>
  <c r="F146" i="51" s="1"/>
  <c r="D120" i="51"/>
  <c r="F120" i="51" s="1"/>
  <c r="D94" i="51"/>
  <c r="F94" i="51" s="1"/>
  <c r="D68" i="51"/>
  <c r="D41" i="51"/>
  <c r="D14" i="51"/>
  <c r="L40" i="17"/>
  <c r="N53" i="15" s="1"/>
  <c r="O53" i="42"/>
  <c r="O54" i="42" s="1"/>
  <c r="N34" i="43"/>
  <c r="E69" i="5"/>
  <c r="G63" i="5"/>
  <c r="G62" i="5"/>
  <c r="I16" i="37"/>
  <c r="Q173" i="23"/>
  <c r="L44" i="14"/>
  <c r="Q171" i="23"/>
  <c r="L42" i="14"/>
  <c r="Q185" i="23"/>
  <c r="R185" i="23"/>
  <c r="H41" i="14" s="1"/>
  <c r="J45" i="14"/>
  <c r="Q172" i="23"/>
  <c r="L43" i="14"/>
  <c r="Q167" i="23"/>
  <c r="L38" i="14"/>
  <c r="Q170" i="23"/>
  <c r="L41" i="14"/>
  <c r="Q163" i="23"/>
  <c r="L34" i="14"/>
  <c r="L45" i="14" s="1"/>
  <c r="E54" i="5"/>
  <c r="E8" i="51"/>
  <c r="F8" i="51" s="1"/>
  <c r="H37" i="22"/>
  <c r="J37" i="22" s="1"/>
  <c r="C61" i="5"/>
  <c r="D68" i="24"/>
  <c r="E68" i="24" s="1"/>
  <c r="G68" i="24" s="1"/>
  <c r="I68" i="24" s="1"/>
  <c r="J68" i="24" s="1"/>
  <c r="E51" i="5"/>
  <c r="F5" i="51"/>
  <c r="M39" i="14"/>
  <c r="K63" i="24"/>
  <c r="H36" i="22"/>
  <c r="J36" i="22" s="1"/>
  <c r="C60" i="5"/>
  <c r="D67" i="24"/>
  <c r="E67" i="24" s="1"/>
  <c r="G67" i="24" s="1"/>
  <c r="I67" i="24" s="1"/>
  <c r="J67" i="24" s="1"/>
  <c r="H28" i="22"/>
  <c r="J28" i="22" s="1"/>
  <c r="C52" i="5"/>
  <c r="E6" i="51" s="1"/>
  <c r="D59" i="24"/>
  <c r="E59" i="24" s="1"/>
  <c r="G59" i="24" s="1"/>
  <c r="I59" i="24" s="1"/>
  <c r="J59" i="24" s="1"/>
  <c r="K27" i="22"/>
  <c r="G34" i="14" s="1"/>
  <c r="E24" i="25"/>
  <c r="E10" i="51"/>
  <c r="F10" i="51" s="1"/>
  <c r="E56" i="5"/>
  <c r="H31" i="22"/>
  <c r="J31" i="22" s="1"/>
  <c r="C55" i="5"/>
  <c r="D62" i="24"/>
  <c r="E62" i="24" s="1"/>
  <c r="G62" i="24" s="1"/>
  <c r="I62" i="24" s="1"/>
  <c r="J62" i="24" s="1"/>
  <c r="M42" i="14"/>
  <c r="K66" i="24"/>
  <c r="K32" i="22"/>
  <c r="G39" i="14" s="1"/>
  <c r="J24" i="25"/>
  <c r="H29" i="22"/>
  <c r="J29" i="22" s="1"/>
  <c r="C53" i="5"/>
  <c r="D60" i="24"/>
  <c r="E60" i="24" s="1"/>
  <c r="G60" i="24" s="1"/>
  <c r="I60" i="24" s="1"/>
  <c r="J60" i="24" s="1"/>
  <c r="M41" i="14"/>
  <c r="K65" i="24"/>
  <c r="E59" i="5"/>
  <c r="E13" i="51"/>
  <c r="M40" i="14"/>
  <c r="K64" i="24"/>
  <c r="K30" i="22"/>
  <c r="G37" i="14" s="1"/>
  <c r="H24" i="25"/>
  <c r="E58" i="5"/>
  <c r="E12" i="51"/>
  <c r="F12" i="51" s="1"/>
  <c r="K35" i="22"/>
  <c r="G42" i="14" s="1"/>
  <c r="M24" i="25"/>
  <c r="E11" i="51"/>
  <c r="E57" i="5"/>
  <c r="M34" i="14"/>
  <c r="K58" i="24"/>
  <c r="H26" i="22"/>
  <c r="J26" i="22" s="1"/>
  <c r="C50" i="5"/>
  <c r="E4" i="51" s="1"/>
  <c r="D57" i="24"/>
  <c r="E57" i="24" s="1"/>
  <c r="G57" i="24" s="1"/>
  <c r="I57" i="24" s="1"/>
  <c r="J57" i="24" s="1"/>
  <c r="K34" i="22"/>
  <c r="G41" i="14" s="1"/>
  <c r="L24" i="25"/>
  <c r="M37" i="14"/>
  <c r="K61" i="24"/>
  <c r="K33" i="22"/>
  <c r="G40" i="14" s="1"/>
  <c r="K24" i="25"/>
  <c r="D45" i="14"/>
  <c r="T161" i="2"/>
  <c r="Y40" i="37"/>
  <c r="R186" i="23"/>
  <c r="H42" i="14" s="1"/>
  <c r="Q186" i="23"/>
  <c r="R178" i="23"/>
  <c r="H34" i="14" s="1"/>
  <c r="Q178" i="23"/>
  <c r="Q177" i="23"/>
  <c r="R177" i="23"/>
  <c r="H33" i="14" s="1"/>
  <c r="R181" i="23"/>
  <c r="H37" i="14" s="1"/>
  <c r="Q180" i="23"/>
  <c r="R180" i="23"/>
  <c r="H36" i="14" s="1"/>
  <c r="P10" i="37"/>
  <c r="I11" i="37"/>
  <c r="W9" i="37"/>
  <c r="P5" i="37"/>
  <c r="I8" i="37"/>
  <c r="P11" i="37"/>
  <c r="W12" i="37"/>
  <c r="P15" i="37"/>
  <c r="W16" i="37"/>
  <c r="W6" i="37"/>
  <c r="P9" i="37"/>
  <c r="I14" i="37"/>
  <c r="I6" i="37"/>
  <c r="I10" i="37"/>
  <c r="P12" i="37"/>
  <c r="W13" i="37"/>
  <c r="I15" i="37"/>
  <c r="P16" i="37"/>
  <c r="W11" i="37"/>
  <c r="P14" i="37"/>
  <c r="I7" i="37"/>
  <c r="P8" i="37"/>
  <c r="W10" i="37"/>
  <c r="Y10" i="37" s="1"/>
  <c r="I13" i="37"/>
  <c r="Y13" i="37" s="1"/>
  <c r="W5" i="37"/>
  <c r="W15" i="37"/>
  <c r="P7" i="37"/>
  <c r="W8" i="37"/>
  <c r="P6" i="37"/>
  <c r="W7" i="37"/>
  <c r="Y7" i="37" s="1"/>
  <c r="I9" i="37"/>
  <c r="Y6" i="37"/>
  <c r="I5" i="37"/>
  <c r="Y14" i="37"/>
  <c r="W15" i="46" l="1"/>
  <c r="X15" i="46" s="1"/>
  <c r="M14" i="43"/>
  <c r="C17" i="17"/>
  <c r="X80" i="28"/>
  <c r="M13" i="25"/>
  <c r="W7" i="46"/>
  <c r="X7" i="46" s="1"/>
  <c r="E14" i="43"/>
  <c r="C9" i="17"/>
  <c r="X72" i="28"/>
  <c r="E13" i="25"/>
  <c r="W8" i="46"/>
  <c r="X8" i="46" s="1"/>
  <c r="F14" i="43"/>
  <c r="C10" i="17"/>
  <c r="X73" i="28"/>
  <c r="F13" i="25"/>
  <c r="W14" i="46"/>
  <c r="X14" i="46" s="1"/>
  <c r="L14" i="43"/>
  <c r="C16" i="17"/>
  <c r="X79" i="28"/>
  <c r="L13" i="25"/>
  <c r="W11" i="46"/>
  <c r="X11" i="46" s="1"/>
  <c r="I14" i="43"/>
  <c r="C13" i="17"/>
  <c r="X76" i="28"/>
  <c r="I13" i="25"/>
  <c r="E82" i="5"/>
  <c r="E81" i="5"/>
  <c r="E54" i="42"/>
  <c r="D53" i="15"/>
  <c r="F84" i="51"/>
  <c r="F110" i="51"/>
  <c r="F136" i="51"/>
  <c r="F111" i="51"/>
  <c r="Y82" i="30"/>
  <c r="V94" i="29"/>
  <c r="D200" i="51"/>
  <c r="D173" i="51"/>
  <c r="D147" i="51"/>
  <c r="F147" i="51" s="1"/>
  <c r="D121" i="51"/>
  <c r="F121" i="51" s="1"/>
  <c r="D95" i="51"/>
  <c r="F95" i="51" s="1"/>
  <c r="D69" i="51"/>
  <c r="D42" i="51"/>
  <c r="D15" i="51"/>
  <c r="L41" i="17"/>
  <c r="O53" i="15" s="1"/>
  <c r="P53" i="42"/>
  <c r="P54" i="42" s="1"/>
  <c r="O34" i="43"/>
  <c r="Y76" i="30"/>
  <c r="V88" i="29"/>
  <c r="D194" i="51"/>
  <c r="D167" i="51"/>
  <c r="D141" i="51"/>
  <c r="D115" i="51"/>
  <c r="D89" i="51"/>
  <c r="D63" i="51"/>
  <c r="D36" i="51"/>
  <c r="D9" i="51"/>
  <c r="L35" i="17"/>
  <c r="J53" i="42"/>
  <c r="I34" i="43"/>
  <c r="Y80" i="30"/>
  <c r="V92" i="29"/>
  <c r="L39" i="17"/>
  <c r="M53" i="15" s="1"/>
  <c r="D198" i="51"/>
  <c r="D171" i="51"/>
  <c r="D145" i="51"/>
  <c r="F145" i="51" s="1"/>
  <c r="D119" i="51"/>
  <c r="F119" i="51" s="1"/>
  <c r="D93" i="51"/>
  <c r="F93" i="51" s="1"/>
  <c r="D67" i="51"/>
  <c r="D40" i="51"/>
  <c r="D13" i="51"/>
  <c r="F13" i="51" s="1"/>
  <c r="N53" i="42"/>
  <c r="N54" i="42" s="1"/>
  <c r="M34" i="43"/>
  <c r="W85" i="46"/>
  <c r="X85" i="46" s="1"/>
  <c r="X82" i="46"/>
  <c r="Y78" i="30"/>
  <c r="V90" i="29"/>
  <c r="D196" i="51"/>
  <c r="D169" i="51"/>
  <c r="D143" i="51"/>
  <c r="F143" i="51" s="1"/>
  <c r="D117" i="51"/>
  <c r="F117" i="51" s="1"/>
  <c r="D91" i="51"/>
  <c r="F91" i="51" s="1"/>
  <c r="D65" i="51"/>
  <c r="D38" i="51"/>
  <c r="D11" i="51"/>
  <c r="F11" i="51" s="1"/>
  <c r="L37" i="17"/>
  <c r="K53" i="15" s="1"/>
  <c r="L53" i="42"/>
  <c r="L54" i="42" s="1"/>
  <c r="K34" i="43"/>
  <c r="H45" i="14"/>
  <c r="M35" i="14"/>
  <c r="K59" i="24"/>
  <c r="K26" i="22"/>
  <c r="G33" i="14" s="1"/>
  <c r="D24" i="25"/>
  <c r="L58" i="5"/>
  <c r="L69" i="15"/>
  <c r="C77" i="5"/>
  <c r="M38" i="14"/>
  <c r="K62" i="24"/>
  <c r="F6" i="51"/>
  <c r="E52" i="5"/>
  <c r="E69" i="15"/>
  <c r="L51" i="5"/>
  <c r="C70" i="5"/>
  <c r="M33" i="14"/>
  <c r="K57" i="24"/>
  <c r="M36" i="14"/>
  <c r="K60" i="24"/>
  <c r="E9" i="51"/>
  <c r="F9" i="51" s="1"/>
  <c r="E55" i="5"/>
  <c r="K28" i="22"/>
  <c r="G35" i="14" s="1"/>
  <c r="F24" i="25"/>
  <c r="M44" i="14"/>
  <c r="K68" i="24"/>
  <c r="E7" i="51"/>
  <c r="F7" i="51" s="1"/>
  <c r="E53" i="5"/>
  <c r="K31" i="22"/>
  <c r="G38" i="14" s="1"/>
  <c r="I24" i="25"/>
  <c r="M43" i="14"/>
  <c r="K67" i="24"/>
  <c r="E15" i="51"/>
  <c r="F15" i="51" s="1"/>
  <c r="E61" i="5"/>
  <c r="K69" i="15"/>
  <c r="C76" i="5"/>
  <c r="L57" i="5"/>
  <c r="K29" i="22"/>
  <c r="G36" i="14" s="1"/>
  <c r="G24" i="25"/>
  <c r="C75" i="5"/>
  <c r="J69" i="15"/>
  <c r="L56" i="5"/>
  <c r="E14" i="51"/>
  <c r="F14" i="51" s="1"/>
  <c r="E60" i="5"/>
  <c r="K37" i="22"/>
  <c r="G44" i="14" s="1"/>
  <c r="O24" i="25"/>
  <c r="K36" i="22"/>
  <c r="G43" i="14" s="1"/>
  <c r="N24" i="25"/>
  <c r="M69" i="15"/>
  <c r="C78" i="5"/>
  <c r="L59" i="5"/>
  <c r="E50" i="5"/>
  <c r="C63" i="5"/>
  <c r="C62" i="5"/>
  <c r="L54" i="5"/>
  <c r="H69" i="15"/>
  <c r="C73" i="5"/>
  <c r="Y8" i="37"/>
  <c r="Y12" i="37"/>
  <c r="P17" i="37"/>
  <c r="Y11" i="37"/>
  <c r="Y15" i="37"/>
  <c r="I17" i="37"/>
  <c r="Y16" i="37"/>
  <c r="O18" i="35" s="1"/>
  <c r="Y5" i="37"/>
  <c r="Y9" i="37"/>
  <c r="W17" i="37"/>
  <c r="Y17" i="37"/>
  <c r="W10" i="46" l="1"/>
  <c r="X10" i="46" s="1"/>
  <c r="H14" i="43"/>
  <c r="C12" i="17"/>
  <c r="X75" i="28"/>
  <c r="H13" i="25"/>
  <c r="W6" i="46"/>
  <c r="X6" i="46" s="1"/>
  <c r="D14" i="43"/>
  <c r="C8" i="17"/>
  <c r="X71" i="28"/>
  <c r="D13" i="25"/>
  <c r="W16" i="46"/>
  <c r="X16" i="46" s="1"/>
  <c r="N14" i="43"/>
  <c r="C18" i="17"/>
  <c r="X81" i="28"/>
  <c r="N13" i="25"/>
  <c r="W12" i="46"/>
  <c r="X12" i="46" s="1"/>
  <c r="J14" i="43"/>
  <c r="C14" i="17"/>
  <c r="X77" i="28"/>
  <c r="J13" i="25"/>
  <c r="W13" i="46"/>
  <c r="X13" i="46" s="1"/>
  <c r="K14" i="43"/>
  <c r="C15" i="17"/>
  <c r="X78" i="28"/>
  <c r="K13" i="25"/>
  <c r="W9" i="46"/>
  <c r="X9" i="46" s="1"/>
  <c r="G14" i="43"/>
  <c r="C11" i="17"/>
  <c r="X74" i="28"/>
  <c r="G13" i="25"/>
  <c r="J54" i="42"/>
  <c r="R54" i="42"/>
  <c r="I53" i="15"/>
  <c r="L43" i="17"/>
  <c r="L42" i="17"/>
  <c r="D16" i="51"/>
  <c r="C20" i="51"/>
  <c r="C47" i="51"/>
  <c r="D47" i="51" s="1"/>
  <c r="D43" i="51"/>
  <c r="F47" i="51" s="1"/>
  <c r="D70" i="51"/>
  <c r="C74" i="51"/>
  <c r="D74" i="51" s="1"/>
  <c r="F74" i="51" s="1"/>
  <c r="F89" i="51"/>
  <c r="C100" i="51"/>
  <c r="D100" i="51" s="1"/>
  <c r="D96" i="51"/>
  <c r="F115" i="51"/>
  <c r="D122" i="51"/>
  <c r="C126" i="51"/>
  <c r="D126" i="51" s="1"/>
  <c r="F141" i="51"/>
  <c r="C152" i="51"/>
  <c r="D152" i="51" s="1"/>
  <c r="D148" i="51"/>
  <c r="C178" i="51"/>
  <c r="D178" i="51" s="1"/>
  <c r="D174" i="51"/>
  <c r="F178" i="51" s="1"/>
  <c r="D201" i="51"/>
  <c r="C205" i="51"/>
  <c r="D205" i="51" s="1"/>
  <c r="F205" i="51" s="1"/>
  <c r="E207" i="51" s="1"/>
  <c r="P53" i="15"/>
  <c r="J24" i="42"/>
  <c r="J25" i="42" s="1"/>
  <c r="I15" i="43"/>
  <c r="M24" i="42"/>
  <c r="M25" i="42" s="1"/>
  <c r="L15" i="43"/>
  <c r="G24" i="42"/>
  <c r="G25" i="42" s="1"/>
  <c r="F15" i="43"/>
  <c r="F24" i="42"/>
  <c r="F25" i="42" s="1"/>
  <c r="E15" i="43"/>
  <c r="N24" i="42"/>
  <c r="N25" i="42" s="1"/>
  <c r="M15" i="43"/>
  <c r="W17" i="46"/>
  <c r="O14" i="43"/>
  <c r="C19" i="17"/>
  <c r="O13" i="25"/>
  <c r="X82" i="28"/>
  <c r="I69" i="15"/>
  <c r="C74" i="5"/>
  <c r="L55" i="5"/>
  <c r="P24" i="25"/>
  <c r="C69" i="5"/>
  <c r="D69" i="15"/>
  <c r="L50" i="5"/>
  <c r="E63" i="5"/>
  <c r="L63" i="5" s="1"/>
  <c r="E62" i="5"/>
  <c r="L52" i="5"/>
  <c r="F69" i="15"/>
  <c r="C71" i="5"/>
  <c r="G45" i="14"/>
  <c r="G69" i="15"/>
  <c r="L53" i="5"/>
  <c r="C72" i="5"/>
  <c r="O69" i="15"/>
  <c r="L61" i="5"/>
  <c r="C80" i="5"/>
  <c r="M45" i="14"/>
  <c r="F4" i="51"/>
  <c r="E16" i="51"/>
  <c r="C79" i="5"/>
  <c r="N69" i="15"/>
  <c r="L60" i="5"/>
  <c r="Y18" i="37"/>
  <c r="F152" i="51" l="1"/>
  <c r="F148" i="51"/>
  <c r="I139" i="51" s="1"/>
  <c r="F126" i="51"/>
  <c r="F122" i="51"/>
  <c r="I113" i="51" s="1"/>
  <c r="F100" i="51"/>
  <c r="F96" i="51"/>
  <c r="I87" i="51" s="1"/>
  <c r="D20" i="51"/>
  <c r="F20" i="51" s="1"/>
  <c r="B20" i="51"/>
  <c r="A20" i="51" s="1"/>
  <c r="R55" i="42"/>
  <c r="T55" i="42"/>
  <c r="H24" i="42"/>
  <c r="H25" i="42" s="1"/>
  <c r="G15" i="43"/>
  <c r="L24" i="42"/>
  <c r="L25" i="42" s="1"/>
  <c r="K15" i="43"/>
  <c r="K24" i="42"/>
  <c r="K25" i="42" s="1"/>
  <c r="J15" i="43"/>
  <c r="O24" i="42"/>
  <c r="O25" i="42" s="1"/>
  <c r="N15" i="43"/>
  <c r="E24" i="42"/>
  <c r="E25" i="42" s="1"/>
  <c r="D15" i="43"/>
  <c r="I24" i="42"/>
  <c r="I25" i="42" s="1"/>
  <c r="H15" i="43"/>
  <c r="P24" i="42"/>
  <c r="D16" i="43"/>
  <c r="D17" i="43" s="1"/>
  <c r="O15" i="43"/>
  <c r="W18" i="46"/>
  <c r="X18" i="46" s="1"/>
  <c r="X17" i="46"/>
  <c r="I9" i="51"/>
  <c r="F16" i="51"/>
  <c r="I7" i="51" s="1"/>
  <c r="P69" i="15"/>
  <c r="Q69" i="15" s="1"/>
  <c r="C82" i="5"/>
  <c r="C81" i="5"/>
  <c r="E64" i="5"/>
  <c r="L62" i="5"/>
  <c r="J32" i="36"/>
  <c r="Q38" i="35" s="1"/>
  <c r="J31" i="36"/>
  <c r="Q37" i="35" s="1"/>
  <c r="J30" i="36"/>
  <c r="Q36" i="35" s="1"/>
  <c r="J29" i="36"/>
  <c r="Q35" i="35" s="1"/>
  <c r="J28" i="36"/>
  <c r="Q34" i="35" s="1"/>
  <c r="J27" i="36"/>
  <c r="Q33" i="35" s="1"/>
  <c r="J26" i="36"/>
  <c r="Q32" i="35" s="1"/>
  <c r="J25" i="36"/>
  <c r="Q31" i="35" s="1"/>
  <c r="J24" i="36"/>
  <c r="Q30" i="35" s="1"/>
  <c r="J23" i="36"/>
  <c r="Q29" i="35" s="1"/>
  <c r="J22" i="36"/>
  <c r="Q28" i="35" s="1"/>
  <c r="J21" i="36"/>
  <c r="Q27" i="35" s="1"/>
  <c r="AC66" i="34"/>
  <c r="AC65" i="34"/>
  <c r="Y66" i="34"/>
  <c r="Y65" i="34"/>
  <c r="O51" i="34"/>
  <c r="Q51" i="34"/>
  <c r="R40" i="35"/>
  <c r="O40" i="35"/>
  <c r="R39" i="35"/>
  <c r="O39" i="35"/>
  <c r="H85" i="6" l="1"/>
  <c r="V72" i="24"/>
  <c r="H86" i="6"/>
  <c r="E79" i="15" s="1"/>
  <c r="V73" i="24"/>
  <c r="X73" i="24" s="1"/>
  <c r="S29" i="35"/>
  <c r="H87" i="6"/>
  <c r="F79" i="15" s="1"/>
  <c r="V74" i="24"/>
  <c r="X74" i="24" s="1"/>
  <c r="S30" i="35"/>
  <c r="H88" i="6"/>
  <c r="G79" i="15" s="1"/>
  <c r="V75" i="24"/>
  <c r="X75" i="24" s="1"/>
  <c r="S31" i="35"/>
  <c r="H89" i="6"/>
  <c r="H79" i="15" s="1"/>
  <c r="V76" i="24"/>
  <c r="X76" i="24" s="1"/>
  <c r="S32" i="35"/>
  <c r="H90" i="6"/>
  <c r="I79" i="15" s="1"/>
  <c r="V77" i="24"/>
  <c r="X77" i="24" s="1"/>
  <c r="S33" i="35"/>
  <c r="H91" i="6"/>
  <c r="J79" i="15" s="1"/>
  <c r="V78" i="24"/>
  <c r="X78" i="24" s="1"/>
  <c r="S34" i="35"/>
  <c r="H92" i="6"/>
  <c r="K79" i="15" s="1"/>
  <c r="V79" i="24"/>
  <c r="X79" i="24" s="1"/>
  <c r="S35" i="35"/>
  <c r="H93" i="6"/>
  <c r="L79" i="15" s="1"/>
  <c r="V80" i="24"/>
  <c r="X80" i="24" s="1"/>
  <c r="S36" i="35"/>
  <c r="H94" i="6"/>
  <c r="M79" i="15" s="1"/>
  <c r="V81" i="24"/>
  <c r="X81" i="24" s="1"/>
  <c r="S37" i="35"/>
  <c r="H95" i="6"/>
  <c r="N79" i="15" s="1"/>
  <c r="V82" i="24"/>
  <c r="X82" i="24" s="1"/>
  <c r="S38" i="35"/>
  <c r="H96" i="6"/>
  <c r="O79" i="15" s="1"/>
  <c r="V83" i="24"/>
  <c r="X83" i="24" s="1"/>
  <c r="R25" i="42"/>
  <c r="P25" i="42"/>
  <c r="S28" i="35"/>
  <c r="Q40" i="35"/>
  <c r="S27" i="35"/>
  <c r="Q39" i="35"/>
  <c r="S39" i="35" s="1"/>
  <c r="J6" i="36"/>
  <c r="Q8" i="35" s="1"/>
  <c r="J7" i="36"/>
  <c r="Q9" i="35" s="1"/>
  <c r="J8" i="36"/>
  <c r="Q10" i="35" s="1"/>
  <c r="J9" i="36"/>
  <c r="Q11" i="35" s="1"/>
  <c r="J10" i="36"/>
  <c r="Q12" i="35" s="1"/>
  <c r="J11" i="36"/>
  <c r="Q13" i="35" s="1"/>
  <c r="J12" i="36"/>
  <c r="Q14" i="35" s="1"/>
  <c r="J13" i="36"/>
  <c r="Q15" i="35" s="1"/>
  <c r="J14" i="36"/>
  <c r="Q16" i="35" s="1"/>
  <c r="J15" i="36"/>
  <c r="Q17" i="35" s="1"/>
  <c r="J16" i="36"/>
  <c r="Q18" i="35" s="1"/>
  <c r="J5" i="36"/>
  <c r="Q7" i="35" s="1"/>
  <c r="V21" i="24" l="1"/>
  <c r="H25" i="6"/>
  <c r="V31" i="24"/>
  <c r="H35" i="6"/>
  <c r="V30" i="24"/>
  <c r="H34" i="6"/>
  <c r="V29" i="24"/>
  <c r="H33" i="6"/>
  <c r="V28" i="24"/>
  <c r="H32" i="6"/>
  <c r="V27" i="24"/>
  <c r="H31" i="6"/>
  <c r="V26" i="24"/>
  <c r="H30" i="6"/>
  <c r="V25" i="24"/>
  <c r="H29" i="6"/>
  <c r="V24" i="24"/>
  <c r="H28" i="6"/>
  <c r="V23" i="24"/>
  <c r="H27" i="6"/>
  <c r="V22" i="24"/>
  <c r="H26" i="6"/>
  <c r="V84" i="24"/>
  <c r="X72" i="24"/>
  <c r="X84" i="24" s="1"/>
  <c r="D79" i="15"/>
  <c r="H98" i="6"/>
  <c r="H97" i="6"/>
  <c r="V32" i="24"/>
  <c r="H36" i="6"/>
  <c r="R26" i="42"/>
  <c r="T26" i="42"/>
  <c r="E17" i="36"/>
  <c r="J35" i="34"/>
  <c r="H8" i="35" s="1"/>
  <c r="AD63" i="34"/>
  <c r="AD62" i="34"/>
  <c r="AD61" i="34"/>
  <c r="AD60" i="34"/>
  <c r="AD59" i="34"/>
  <c r="AD58" i="34"/>
  <c r="AD57" i="34"/>
  <c r="AD56" i="34"/>
  <c r="AD55" i="34"/>
  <c r="AD54" i="34"/>
  <c r="AD53" i="34"/>
  <c r="AD52" i="34"/>
  <c r="AB63" i="34"/>
  <c r="AB62" i="34"/>
  <c r="AB61" i="34"/>
  <c r="AB60" i="34"/>
  <c r="AB59" i="34"/>
  <c r="AB58" i="34"/>
  <c r="AB57" i="34"/>
  <c r="AB56" i="34"/>
  <c r="AB55" i="34"/>
  <c r="AB54" i="34"/>
  <c r="AB53" i="34"/>
  <c r="AB52" i="34"/>
  <c r="AB65" i="34" s="1"/>
  <c r="E37" i="35" s="1"/>
  <c r="Z63" i="34"/>
  <c r="Z62" i="34"/>
  <c r="Z61" i="34"/>
  <c r="Z60" i="34"/>
  <c r="Z59" i="34"/>
  <c r="Z58" i="34"/>
  <c r="Z57" i="34"/>
  <c r="Z56" i="34"/>
  <c r="Z55" i="34"/>
  <c r="Z54" i="34"/>
  <c r="Z53" i="34"/>
  <c r="Z52" i="34"/>
  <c r="X63" i="34"/>
  <c r="X62" i="34"/>
  <c r="X61" i="34"/>
  <c r="X60" i="34"/>
  <c r="X59" i="34"/>
  <c r="X58" i="34"/>
  <c r="X57" i="34"/>
  <c r="X56" i="34"/>
  <c r="X55" i="34"/>
  <c r="X54" i="34"/>
  <c r="X53" i="34"/>
  <c r="X52" i="34"/>
  <c r="V63" i="34"/>
  <c r="V62" i="34"/>
  <c r="V61" i="34"/>
  <c r="V60" i="34"/>
  <c r="V59" i="34"/>
  <c r="V58" i="34"/>
  <c r="V57" i="34"/>
  <c r="V56" i="34"/>
  <c r="V55" i="34"/>
  <c r="V54" i="34"/>
  <c r="V53" i="34"/>
  <c r="V52" i="34"/>
  <c r="V65" i="34" s="1"/>
  <c r="E34" i="35" s="1"/>
  <c r="T63" i="34"/>
  <c r="T62" i="34"/>
  <c r="T61" i="34"/>
  <c r="T60" i="34"/>
  <c r="T59" i="34"/>
  <c r="T58" i="34"/>
  <c r="T57" i="34"/>
  <c r="T56" i="34"/>
  <c r="T55" i="34"/>
  <c r="T54" i="34"/>
  <c r="T53" i="34"/>
  <c r="T52" i="34"/>
  <c r="R63" i="34"/>
  <c r="R62" i="34"/>
  <c r="R61" i="34"/>
  <c r="R60" i="34"/>
  <c r="R59" i="34"/>
  <c r="R58" i="34"/>
  <c r="R57" i="34"/>
  <c r="R56" i="34"/>
  <c r="R55" i="34"/>
  <c r="R54" i="34"/>
  <c r="R53" i="34"/>
  <c r="R52" i="34"/>
  <c r="R65" i="34" s="1"/>
  <c r="E32" i="35" s="1"/>
  <c r="P63" i="34"/>
  <c r="P62" i="34"/>
  <c r="P61" i="34"/>
  <c r="P60" i="34"/>
  <c r="P59" i="34"/>
  <c r="P58" i="34"/>
  <c r="P57" i="34"/>
  <c r="P56" i="34"/>
  <c r="P55" i="34"/>
  <c r="P54" i="34"/>
  <c r="P53" i="34"/>
  <c r="P52" i="34"/>
  <c r="P65" i="34" s="1"/>
  <c r="E31" i="35" s="1"/>
  <c r="N63" i="34"/>
  <c r="N62" i="34"/>
  <c r="N61" i="34"/>
  <c r="N60" i="34"/>
  <c r="N59" i="34"/>
  <c r="N58" i="34"/>
  <c r="N57" i="34"/>
  <c r="N56" i="34"/>
  <c r="N55" i="34"/>
  <c r="N54" i="34"/>
  <c r="N53" i="34"/>
  <c r="N52" i="34"/>
  <c r="N65" i="34" s="1"/>
  <c r="E30" i="35" s="1"/>
  <c r="L63" i="34"/>
  <c r="L62" i="34"/>
  <c r="L61" i="34"/>
  <c r="L60" i="34"/>
  <c r="L59" i="34"/>
  <c r="L58" i="34"/>
  <c r="L57" i="34"/>
  <c r="L56" i="34"/>
  <c r="L55" i="34"/>
  <c r="L54" i="34"/>
  <c r="L53" i="34"/>
  <c r="L52" i="34"/>
  <c r="J63" i="34"/>
  <c r="J62" i="34"/>
  <c r="J61" i="34"/>
  <c r="J60" i="34"/>
  <c r="J59" i="34"/>
  <c r="J58" i="34"/>
  <c r="J57" i="34"/>
  <c r="J56" i="34"/>
  <c r="J55" i="34"/>
  <c r="J54" i="34"/>
  <c r="J53" i="34"/>
  <c r="J52" i="34"/>
  <c r="J65" i="34" s="1"/>
  <c r="E28" i="35" s="1"/>
  <c r="H58" i="34"/>
  <c r="H60" i="34"/>
  <c r="H61" i="34"/>
  <c r="Y78" i="34"/>
  <c r="AD81" i="34"/>
  <c r="I38" i="35" s="1"/>
  <c r="AB81" i="34"/>
  <c r="I37" i="35" s="1"/>
  <c r="Z81" i="34"/>
  <c r="I36" i="35" s="1"/>
  <c r="X81" i="34"/>
  <c r="I35" i="35" s="1"/>
  <c r="V81" i="34"/>
  <c r="I34" i="35" s="1"/>
  <c r="T81" i="34"/>
  <c r="I33" i="35" s="1"/>
  <c r="R81" i="34"/>
  <c r="I32" i="35" s="1"/>
  <c r="P81" i="34"/>
  <c r="I31" i="35" s="1"/>
  <c r="N81" i="34"/>
  <c r="I30" i="35" s="1"/>
  <c r="L81" i="34"/>
  <c r="I29" i="35" s="1"/>
  <c r="J81" i="34"/>
  <c r="I28" i="35" s="1"/>
  <c r="H81" i="34"/>
  <c r="I27" i="35" s="1"/>
  <c r="AD80" i="34"/>
  <c r="AB80" i="34"/>
  <c r="Z80" i="34"/>
  <c r="X80" i="34"/>
  <c r="V80" i="34"/>
  <c r="T80" i="34"/>
  <c r="R80" i="34"/>
  <c r="P80" i="34"/>
  <c r="N80" i="34"/>
  <c r="L80" i="34"/>
  <c r="J80" i="34"/>
  <c r="H80" i="34"/>
  <c r="AD79" i="34"/>
  <c r="AB79" i="34"/>
  <c r="Z79" i="34"/>
  <c r="H36" i="35" s="1"/>
  <c r="X79" i="34"/>
  <c r="H35" i="35" s="1"/>
  <c r="V79" i="34"/>
  <c r="H34" i="35" s="1"/>
  <c r="T79" i="34"/>
  <c r="R79" i="34"/>
  <c r="P79" i="34"/>
  <c r="H31" i="35" s="1"/>
  <c r="N79" i="34"/>
  <c r="H30" i="35" s="1"/>
  <c r="L79" i="34"/>
  <c r="H29" i="35" s="1"/>
  <c r="J79" i="34"/>
  <c r="H28" i="35" s="1"/>
  <c r="H79" i="34"/>
  <c r="H27" i="35" s="1"/>
  <c r="AC78" i="34"/>
  <c r="AA78" i="34"/>
  <c r="W78" i="34"/>
  <c r="U78" i="34"/>
  <c r="S78" i="34"/>
  <c r="Q78" i="34"/>
  <c r="O78" i="34"/>
  <c r="M78" i="34"/>
  <c r="K78" i="34"/>
  <c r="I78" i="34"/>
  <c r="AD77" i="34"/>
  <c r="AB77" i="34"/>
  <c r="Z77" i="34"/>
  <c r="X77" i="34"/>
  <c r="V77" i="34"/>
  <c r="T77" i="34"/>
  <c r="R77" i="34"/>
  <c r="P77" i="34"/>
  <c r="N77" i="34"/>
  <c r="L77" i="34"/>
  <c r="J77" i="34"/>
  <c r="H77" i="34"/>
  <c r="AD76" i="34"/>
  <c r="AB76" i="34"/>
  <c r="Z76" i="34"/>
  <c r="X76" i="34"/>
  <c r="V76" i="34"/>
  <c r="T76" i="34"/>
  <c r="R76" i="34"/>
  <c r="P76" i="34"/>
  <c r="N76" i="34"/>
  <c r="L76" i="34"/>
  <c r="J76" i="34"/>
  <c r="H76" i="34"/>
  <c r="AD75" i="34"/>
  <c r="AD78" i="34" s="1"/>
  <c r="AB75" i="34"/>
  <c r="Z75" i="34"/>
  <c r="X75" i="34"/>
  <c r="V75" i="34"/>
  <c r="V78" i="34" s="1"/>
  <c r="G34" i="35" s="1"/>
  <c r="T75" i="34"/>
  <c r="R75" i="34"/>
  <c r="P75" i="34"/>
  <c r="P78" i="34" s="1"/>
  <c r="G31" i="35" s="1"/>
  <c r="N75" i="34"/>
  <c r="N78" i="34" s="1"/>
  <c r="G30" i="35" s="1"/>
  <c r="L75" i="34"/>
  <c r="L78" i="34" s="1"/>
  <c r="G29" i="35" s="1"/>
  <c r="J75" i="34"/>
  <c r="J78" i="34" s="1"/>
  <c r="G28" i="35" s="1"/>
  <c r="H75" i="34"/>
  <c r="H78" i="34" s="1"/>
  <c r="G27" i="35" s="1"/>
  <c r="AC74" i="34"/>
  <c r="AA74" i="34"/>
  <c r="W74" i="34"/>
  <c r="U74" i="34"/>
  <c r="S74" i="34"/>
  <c r="Q74" i="34"/>
  <c r="O74" i="34"/>
  <c r="M74" i="34"/>
  <c r="K74" i="34"/>
  <c r="I74" i="34"/>
  <c r="AC73" i="34"/>
  <c r="AA73" i="34"/>
  <c r="W73" i="34"/>
  <c r="U73" i="34"/>
  <c r="S73" i="34"/>
  <c r="Q73" i="34"/>
  <c r="O73" i="34"/>
  <c r="M73" i="34"/>
  <c r="K73" i="34"/>
  <c r="I73" i="34"/>
  <c r="AD72" i="34"/>
  <c r="AB72" i="34"/>
  <c r="Z72" i="34"/>
  <c r="X72" i="34"/>
  <c r="V72" i="34"/>
  <c r="T72" i="34"/>
  <c r="R72" i="34"/>
  <c r="P72" i="34"/>
  <c r="N72" i="34"/>
  <c r="L72" i="34"/>
  <c r="J72" i="34"/>
  <c r="H72" i="34"/>
  <c r="AD71" i="34"/>
  <c r="AB71" i="34"/>
  <c r="Z71" i="34"/>
  <c r="X71" i="34"/>
  <c r="V71" i="34"/>
  <c r="T71" i="34"/>
  <c r="R71" i="34"/>
  <c r="P71" i="34"/>
  <c r="N71" i="34"/>
  <c r="L71" i="34"/>
  <c r="J71" i="34"/>
  <c r="H71" i="34"/>
  <c r="AD70" i="34"/>
  <c r="AB70" i="34"/>
  <c r="Z70" i="34"/>
  <c r="X70" i="34"/>
  <c r="V70" i="34"/>
  <c r="T70" i="34"/>
  <c r="R70" i="34"/>
  <c r="P70" i="34"/>
  <c r="N70" i="34"/>
  <c r="L70" i="34"/>
  <c r="J70" i="34"/>
  <c r="H70" i="34"/>
  <c r="AD69" i="34"/>
  <c r="AB69" i="34"/>
  <c r="Z69" i="34"/>
  <c r="X69" i="34"/>
  <c r="V69" i="34"/>
  <c r="T69" i="34"/>
  <c r="R69" i="34"/>
  <c r="P69" i="34"/>
  <c r="N69" i="34"/>
  <c r="L69" i="34"/>
  <c r="J69" i="34"/>
  <c r="H69" i="34"/>
  <c r="AD68" i="34"/>
  <c r="AB68" i="34"/>
  <c r="Z68" i="34"/>
  <c r="X68" i="34"/>
  <c r="V68" i="34"/>
  <c r="T68" i="34"/>
  <c r="R68" i="34"/>
  <c r="P68" i="34"/>
  <c r="N68" i="34"/>
  <c r="L68" i="34"/>
  <c r="J68" i="34"/>
  <c r="H68" i="34"/>
  <c r="AD67" i="34"/>
  <c r="AD73" i="34" s="1"/>
  <c r="F38" i="35" s="1"/>
  <c r="AB67" i="34"/>
  <c r="Z67" i="34"/>
  <c r="Z73" i="34" s="1"/>
  <c r="F36" i="35" s="1"/>
  <c r="X67" i="34"/>
  <c r="V67" i="34"/>
  <c r="V73" i="34" s="1"/>
  <c r="F34" i="35" s="1"/>
  <c r="T67" i="34"/>
  <c r="R67" i="34"/>
  <c r="R73" i="34" s="1"/>
  <c r="F32" i="35" s="1"/>
  <c r="P67" i="34"/>
  <c r="N67" i="34"/>
  <c r="N73" i="34" s="1"/>
  <c r="F30" i="35" s="1"/>
  <c r="L67" i="34"/>
  <c r="L73" i="34" s="1"/>
  <c r="F29" i="35" s="1"/>
  <c r="J67" i="34"/>
  <c r="J73" i="34" s="1"/>
  <c r="F28" i="35" s="1"/>
  <c r="H67" i="34"/>
  <c r="H73" i="34" s="1"/>
  <c r="F27" i="35" s="1"/>
  <c r="AA66" i="34"/>
  <c r="W66" i="34"/>
  <c r="U66" i="34"/>
  <c r="S66" i="34"/>
  <c r="Q66" i="34"/>
  <c r="O66" i="34"/>
  <c r="M66" i="34"/>
  <c r="K66" i="34"/>
  <c r="I66" i="34"/>
  <c r="AA65" i="34"/>
  <c r="W65" i="34"/>
  <c r="U65" i="34"/>
  <c r="S65" i="34"/>
  <c r="Q65" i="34"/>
  <c r="O65" i="34"/>
  <c r="M65" i="34"/>
  <c r="K65" i="34"/>
  <c r="I65" i="34"/>
  <c r="H63" i="34"/>
  <c r="H62" i="34"/>
  <c r="H59" i="34"/>
  <c r="H57" i="34"/>
  <c r="H56" i="34"/>
  <c r="H55" i="34"/>
  <c r="H54" i="34"/>
  <c r="H53" i="34"/>
  <c r="H52" i="34"/>
  <c r="AC51" i="34"/>
  <c r="AA51" i="34"/>
  <c r="W51" i="34"/>
  <c r="U51" i="34"/>
  <c r="S51" i="34"/>
  <c r="M51" i="34"/>
  <c r="K51" i="34"/>
  <c r="I51" i="34"/>
  <c r="AD50" i="34"/>
  <c r="AB50" i="34"/>
  <c r="Z50" i="34"/>
  <c r="X50" i="34"/>
  <c r="V50" i="34"/>
  <c r="T50" i="34"/>
  <c r="R50" i="34"/>
  <c r="P50" i="34"/>
  <c r="N50" i="34"/>
  <c r="L50" i="34"/>
  <c r="J50" i="34"/>
  <c r="H50" i="34"/>
  <c r="AD49" i="34"/>
  <c r="AB49" i="34"/>
  <c r="Z49" i="34"/>
  <c r="X49" i="34"/>
  <c r="V49" i="34"/>
  <c r="T49" i="34"/>
  <c r="R49" i="34"/>
  <c r="P49" i="34"/>
  <c r="N49" i="34"/>
  <c r="L49" i="34"/>
  <c r="J49" i="34"/>
  <c r="H49" i="34"/>
  <c r="AD48" i="34"/>
  <c r="AB48" i="34"/>
  <c r="AB51" i="34" s="1"/>
  <c r="D37" i="35" s="1"/>
  <c r="Z48" i="34"/>
  <c r="X48" i="34"/>
  <c r="V48" i="34"/>
  <c r="T48" i="34"/>
  <c r="T51" i="34" s="1"/>
  <c r="D33" i="35" s="1"/>
  <c r="R48" i="34"/>
  <c r="R51" i="34" s="1"/>
  <c r="D32" i="35" s="1"/>
  <c r="P48" i="34"/>
  <c r="P51" i="34" s="1"/>
  <c r="D31" i="35" s="1"/>
  <c r="N48" i="34"/>
  <c r="N51" i="34" s="1"/>
  <c r="D30" i="35" s="1"/>
  <c r="L48" i="34"/>
  <c r="L51" i="34" s="1"/>
  <c r="D29" i="35" s="1"/>
  <c r="J48" i="34"/>
  <c r="H48" i="34"/>
  <c r="AD37" i="34"/>
  <c r="I18" i="35" s="1"/>
  <c r="L18" i="35" s="1"/>
  <c r="AD36" i="34"/>
  <c r="AD35" i="34"/>
  <c r="H18" i="35" s="1"/>
  <c r="AD33" i="34"/>
  <c r="AD32" i="34"/>
  <c r="AD31" i="34"/>
  <c r="AD28" i="34"/>
  <c r="AD27" i="34"/>
  <c r="AD26" i="34"/>
  <c r="AD25" i="34"/>
  <c r="AD24" i="34"/>
  <c r="AD23" i="34"/>
  <c r="AD19" i="34"/>
  <c r="AD18" i="34"/>
  <c r="AD17" i="34"/>
  <c r="AD16" i="34"/>
  <c r="AD15" i="34"/>
  <c r="AD14" i="34"/>
  <c r="AD13" i="34"/>
  <c r="AD12" i="34"/>
  <c r="AD11" i="34"/>
  <c r="AD10" i="34"/>
  <c r="AD9" i="34"/>
  <c r="AD8" i="34"/>
  <c r="AD6" i="34"/>
  <c r="AD5" i="34"/>
  <c r="AD4" i="34"/>
  <c r="AD7" i="34" s="1"/>
  <c r="D18" i="35" s="1"/>
  <c r="AB37" i="34"/>
  <c r="AB36" i="34"/>
  <c r="AB35" i="34"/>
  <c r="H17" i="35" s="1"/>
  <c r="AB33" i="34"/>
  <c r="AB32" i="34"/>
  <c r="AB31" i="34"/>
  <c r="AB34" i="34" s="1"/>
  <c r="G17" i="35" s="1"/>
  <c r="AB28" i="34"/>
  <c r="AB27" i="34"/>
  <c r="AB26" i="34"/>
  <c r="AB25" i="34"/>
  <c r="AB24" i="34"/>
  <c r="AB23" i="34"/>
  <c r="AB29" i="34" s="1"/>
  <c r="F17" i="35" s="1"/>
  <c r="AB19" i="34"/>
  <c r="AB18" i="34"/>
  <c r="AB17" i="34"/>
  <c r="AB16" i="34"/>
  <c r="AB15" i="34"/>
  <c r="AB14" i="34"/>
  <c r="AB13" i="34"/>
  <c r="AB12" i="34"/>
  <c r="AB11" i="34"/>
  <c r="AB10" i="34"/>
  <c r="AB9" i="34"/>
  <c r="AB8" i="34"/>
  <c r="AB6" i="34"/>
  <c r="AB5" i="34"/>
  <c r="AB4" i="34"/>
  <c r="AB7" i="34" s="1"/>
  <c r="D17" i="35" s="1"/>
  <c r="Z37" i="34"/>
  <c r="Z36" i="34"/>
  <c r="Z35" i="34"/>
  <c r="H16" i="35" s="1"/>
  <c r="Z33" i="34"/>
  <c r="Z32" i="34"/>
  <c r="Z31" i="34"/>
  <c r="Z34" i="34" s="1"/>
  <c r="G16" i="35" s="1"/>
  <c r="Z28" i="34"/>
  <c r="Z27" i="34"/>
  <c r="Z26" i="34"/>
  <c r="Z25" i="34"/>
  <c r="Z24" i="34"/>
  <c r="Z23" i="34"/>
  <c r="Z29" i="34" s="1"/>
  <c r="F16" i="35" s="1"/>
  <c r="Z19" i="34"/>
  <c r="Z18" i="34"/>
  <c r="Z17" i="34"/>
  <c r="Z16" i="34"/>
  <c r="Z15" i="34"/>
  <c r="Z14" i="34"/>
  <c r="Z13" i="34"/>
  <c r="Z12" i="34"/>
  <c r="Z11" i="34"/>
  <c r="Z10" i="34"/>
  <c r="Z9" i="34"/>
  <c r="Z8" i="34"/>
  <c r="Z6" i="34"/>
  <c r="Z5" i="34"/>
  <c r="Z4" i="34"/>
  <c r="Z7" i="34" s="1"/>
  <c r="D16" i="35" s="1"/>
  <c r="X37" i="34"/>
  <c r="I15" i="35" s="1"/>
  <c r="X36" i="34"/>
  <c r="X35" i="34"/>
  <c r="H15" i="35" s="1"/>
  <c r="X33" i="34"/>
  <c r="X32" i="34"/>
  <c r="X31" i="34"/>
  <c r="X34" i="34" s="1"/>
  <c r="G15" i="35" s="1"/>
  <c r="X28" i="34"/>
  <c r="X27" i="34"/>
  <c r="X26" i="34"/>
  <c r="X25" i="34"/>
  <c r="X24" i="34"/>
  <c r="X23" i="34"/>
  <c r="X29" i="34" s="1"/>
  <c r="F15" i="35" s="1"/>
  <c r="X19" i="34"/>
  <c r="X18" i="34"/>
  <c r="X17" i="34"/>
  <c r="X16" i="34"/>
  <c r="X15" i="34"/>
  <c r="X14" i="34"/>
  <c r="X13" i="34"/>
  <c r="X12" i="34"/>
  <c r="X11" i="34"/>
  <c r="X10" i="34"/>
  <c r="X9" i="34"/>
  <c r="X8" i="34"/>
  <c r="X6" i="34"/>
  <c r="X5" i="34"/>
  <c r="X4" i="34"/>
  <c r="X7" i="34" s="1"/>
  <c r="D15" i="35" s="1"/>
  <c r="V37" i="34"/>
  <c r="I14" i="35" s="1"/>
  <c r="V36" i="34"/>
  <c r="V35" i="34"/>
  <c r="H14" i="35" s="1"/>
  <c r="V33" i="34"/>
  <c r="V32" i="34"/>
  <c r="V31" i="34"/>
  <c r="V34" i="34" s="1"/>
  <c r="G14" i="35" s="1"/>
  <c r="V28" i="34"/>
  <c r="V27" i="34"/>
  <c r="V26" i="34"/>
  <c r="V25" i="34"/>
  <c r="V24" i="34"/>
  <c r="V23" i="34"/>
  <c r="V29" i="34" s="1"/>
  <c r="F14" i="35" s="1"/>
  <c r="V19" i="34"/>
  <c r="V18" i="34"/>
  <c r="V17" i="34"/>
  <c r="V16" i="34"/>
  <c r="V15" i="34"/>
  <c r="V14" i="34"/>
  <c r="V13" i="34"/>
  <c r="V12" i="34"/>
  <c r="V11" i="34"/>
  <c r="V10" i="34"/>
  <c r="V9" i="34"/>
  <c r="V8" i="34"/>
  <c r="V21" i="34" s="1"/>
  <c r="E14" i="35" s="1"/>
  <c r="V6" i="34"/>
  <c r="V5" i="34"/>
  <c r="V4" i="34"/>
  <c r="T37" i="34"/>
  <c r="I13" i="35" s="1"/>
  <c r="T36" i="34"/>
  <c r="T35" i="34"/>
  <c r="H13" i="35" s="1"/>
  <c r="T33" i="34"/>
  <c r="T32" i="34"/>
  <c r="T31" i="34"/>
  <c r="T34" i="34" s="1"/>
  <c r="G13" i="35" s="1"/>
  <c r="T28" i="34"/>
  <c r="T27" i="34"/>
  <c r="T26" i="34"/>
  <c r="T25" i="34"/>
  <c r="T24" i="34"/>
  <c r="T23" i="34"/>
  <c r="T19" i="34"/>
  <c r="T18" i="34"/>
  <c r="T17" i="34"/>
  <c r="T16" i="34"/>
  <c r="T15" i="34"/>
  <c r="T14" i="34"/>
  <c r="T13" i="34"/>
  <c r="T12" i="34"/>
  <c r="T11" i="34"/>
  <c r="T10" i="34"/>
  <c r="T9" i="34"/>
  <c r="T8" i="34"/>
  <c r="T6" i="34"/>
  <c r="T5" i="34"/>
  <c r="T4" i="34"/>
  <c r="T7" i="34" s="1"/>
  <c r="D13" i="35" s="1"/>
  <c r="R37" i="34"/>
  <c r="I12" i="35" s="1"/>
  <c r="R36" i="34"/>
  <c r="R35" i="34"/>
  <c r="H12" i="35" s="1"/>
  <c r="R33" i="34"/>
  <c r="R32" i="34"/>
  <c r="R31" i="34"/>
  <c r="R28" i="34"/>
  <c r="R27" i="34"/>
  <c r="R26" i="34"/>
  <c r="R25" i="34"/>
  <c r="R24" i="34"/>
  <c r="R23" i="34"/>
  <c r="R29" i="34" s="1"/>
  <c r="F12" i="35" s="1"/>
  <c r="R19" i="34"/>
  <c r="R18" i="34"/>
  <c r="R17" i="34"/>
  <c r="R16" i="34"/>
  <c r="R15" i="34"/>
  <c r="R14" i="34"/>
  <c r="R13" i="34"/>
  <c r="R12" i="34"/>
  <c r="R11" i="34"/>
  <c r="R10" i="34"/>
  <c r="R9" i="34"/>
  <c r="R8" i="34"/>
  <c r="R21" i="34" s="1"/>
  <c r="E12" i="35" s="1"/>
  <c r="R6" i="34"/>
  <c r="R5" i="34"/>
  <c r="R4" i="34"/>
  <c r="P37" i="34"/>
  <c r="I11" i="35" s="1"/>
  <c r="P36" i="34"/>
  <c r="P35" i="34"/>
  <c r="H11" i="35" s="1"/>
  <c r="P33" i="34"/>
  <c r="P32" i="34"/>
  <c r="P31" i="34"/>
  <c r="P34" i="34" s="1"/>
  <c r="G11" i="35" s="1"/>
  <c r="P28" i="34"/>
  <c r="P27" i="34"/>
  <c r="P26" i="34"/>
  <c r="P25" i="34"/>
  <c r="P24" i="34"/>
  <c r="P23" i="34"/>
  <c r="P29" i="34" s="1"/>
  <c r="F11" i="35" s="1"/>
  <c r="P19" i="34"/>
  <c r="P18" i="34"/>
  <c r="P17" i="34"/>
  <c r="P16" i="34"/>
  <c r="P15" i="34"/>
  <c r="P14" i="34"/>
  <c r="P13" i="34"/>
  <c r="P12" i="34"/>
  <c r="P11" i="34"/>
  <c r="P10" i="34"/>
  <c r="P9" i="34"/>
  <c r="P8" i="34"/>
  <c r="P6" i="34"/>
  <c r="P5" i="34"/>
  <c r="P4" i="34"/>
  <c r="P7" i="34" s="1"/>
  <c r="D11" i="35" s="1"/>
  <c r="N37" i="34"/>
  <c r="I10" i="35" s="1"/>
  <c r="N36" i="34"/>
  <c r="N35" i="34"/>
  <c r="H10" i="35" s="1"/>
  <c r="N33" i="34"/>
  <c r="N32" i="34"/>
  <c r="N31" i="34"/>
  <c r="N28" i="34"/>
  <c r="N27" i="34"/>
  <c r="N26" i="34"/>
  <c r="N25" i="34"/>
  <c r="N24" i="34"/>
  <c r="N23" i="34"/>
  <c r="N29" i="34" s="1"/>
  <c r="F10" i="35" s="1"/>
  <c r="N19" i="34"/>
  <c r="N18" i="34"/>
  <c r="N17" i="34"/>
  <c r="N16" i="34"/>
  <c r="N15" i="34"/>
  <c r="N14" i="34"/>
  <c r="N13" i="34"/>
  <c r="N12" i="34"/>
  <c r="N11" i="34"/>
  <c r="N10" i="34"/>
  <c r="N9" i="34"/>
  <c r="N8" i="34"/>
  <c r="N21" i="34" s="1"/>
  <c r="E10" i="35" s="1"/>
  <c r="N6" i="34"/>
  <c r="N5" i="34"/>
  <c r="N4" i="34"/>
  <c r="I37" i="34"/>
  <c r="J37" i="34" s="1"/>
  <c r="G37" i="34"/>
  <c r="H37" i="34" s="1"/>
  <c r="L37" i="34"/>
  <c r="L36" i="34"/>
  <c r="L35" i="34"/>
  <c r="H9" i="35" s="1"/>
  <c r="L33" i="34"/>
  <c r="L32" i="34"/>
  <c r="L31" i="34"/>
  <c r="L34" i="34" s="1"/>
  <c r="G9" i="35" s="1"/>
  <c r="L28" i="34"/>
  <c r="L27" i="34"/>
  <c r="L26" i="34"/>
  <c r="L25" i="34"/>
  <c r="L24" i="34"/>
  <c r="L23" i="34"/>
  <c r="L29" i="34" s="1"/>
  <c r="F9" i="35" s="1"/>
  <c r="L19" i="34"/>
  <c r="L18" i="34"/>
  <c r="L17" i="34"/>
  <c r="L16" i="34"/>
  <c r="L15" i="34"/>
  <c r="L14" i="34"/>
  <c r="L13" i="34"/>
  <c r="L12" i="34"/>
  <c r="L11" i="34"/>
  <c r="L10" i="34"/>
  <c r="L9" i="34"/>
  <c r="L8" i="34"/>
  <c r="L6" i="34"/>
  <c r="L5" i="34"/>
  <c r="L4" i="34"/>
  <c r="L7" i="34" s="1"/>
  <c r="D9" i="35" s="1"/>
  <c r="J36" i="34"/>
  <c r="J33" i="34"/>
  <c r="J32" i="34"/>
  <c r="J31" i="34"/>
  <c r="J28" i="34"/>
  <c r="J27" i="34"/>
  <c r="J26" i="34"/>
  <c r="J25" i="34"/>
  <c r="J24" i="34"/>
  <c r="J23" i="34"/>
  <c r="J29" i="34" s="1"/>
  <c r="F8" i="35" s="1"/>
  <c r="J19" i="34"/>
  <c r="J18" i="34"/>
  <c r="J17" i="34"/>
  <c r="J16" i="34"/>
  <c r="J15" i="34"/>
  <c r="J14" i="34"/>
  <c r="J13" i="34"/>
  <c r="J12" i="34"/>
  <c r="J11" i="34"/>
  <c r="J10" i="34"/>
  <c r="J9" i="34"/>
  <c r="J8" i="34"/>
  <c r="J21" i="34" s="1"/>
  <c r="E8" i="35" s="1"/>
  <c r="J6" i="34"/>
  <c r="J5" i="34"/>
  <c r="J4" i="34"/>
  <c r="H16" i="34"/>
  <c r="O20" i="35"/>
  <c r="O19" i="35"/>
  <c r="L13" i="35"/>
  <c r="L12" i="35"/>
  <c r="L11" i="35"/>
  <c r="L10" i="35"/>
  <c r="Q20" i="35"/>
  <c r="H14" i="34"/>
  <c r="H17" i="34"/>
  <c r="H15" i="34"/>
  <c r="H18" i="34"/>
  <c r="H13" i="34"/>
  <c r="H12" i="34"/>
  <c r="H8" i="34"/>
  <c r="H6" i="34"/>
  <c r="H36" i="34"/>
  <c r="H35" i="34"/>
  <c r="H7" i="35" s="1"/>
  <c r="H33" i="34"/>
  <c r="H32" i="34"/>
  <c r="H28" i="34"/>
  <c r="H27" i="34"/>
  <c r="H24" i="34"/>
  <c r="AC30" i="34"/>
  <c r="AC29" i="34"/>
  <c r="AC21" i="34"/>
  <c r="AC7" i="34"/>
  <c r="O46" i="33"/>
  <c r="AA38" i="37" s="1"/>
  <c r="D41" i="17" s="1"/>
  <c r="N46" i="33"/>
  <c r="AA37" i="37" s="1"/>
  <c r="D40" i="17" s="1"/>
  <c r="M46" i="33"/>
  <c r="AA36" i="37" s="1"/>
  <c r="D39" i="17" s="1"/>
  <c r="L46" i="33"/>
  <c r="K46" i="33"/>
  <c r="AA34" i="37" s="1"/>
  <c r="D37" i="17" s="1"/>
  <c r="J46" i="33"/>
  <c r="AA33" i="37" s="1"/>
  <c r="D36" i="17" s="1"/>
  <c r="I46" i="33"/>
  <c r="AA32" i="37" s="1"/>
  <c r="D35" i="17" s="1"/>
  <c r="H46" i="33"/>
  <c r="AA31" i="37" s="1"/>
  <c r="D34" i="17" s="1"/>
  <c r="G46" i="33"/>
  <c r="AA30" i="37" s="1"/>
  <c r="D33" i="17" s="1"/>
  <c r="F46" i="33"/>
  <c r="AA29" i="37" s="1"/>
  <c r="D32" i="17" s="1"/>
  <c r="E46" i="33"/>
  <c r="D31" i="17" s="1"/>
  <c r="D46" i="33"/>
  <c r="P45" i="33"/>
  <c r="AC44" i="33"/>
  <c r="AC45" i="33" s="1"/>
  <c r="L203" i="23" s="1"/>
  <c r="O203" i="23" s="1"/>
  <c r="AB44" i="33"/>
  <c r="AB45" i="33" s="1"/>
  <c r="L202" i="23" s="1"/>
  <c r="O202" i="23" s="1"/>
  <c r="AA44" i="33"/>
  <c r="AA45" i="33" s="1"/>
  <c r="L201" i="23" s="1"/>
  <c r="O201" i="23" s="1"/>
  <c r="Z44" i="33"/>
  <c r="Z45" i="33" s="1"/>
  <c r="L200" i="23" s="1"/>
  <c r="O200" i="23" s="1"/>
  <c r="Y44" i="33"/>
  <c r="Y45" i="33" s="1"/>
  <c r="L199" i="23" s="1"/>
  <c r="O199" i="23" s="1"/>
  <c r="X44" i="33"/>
  <c r="X45" i="33" s="1"/>
  <c r="L198" i="23" s="1"/>
  <c r="O198" i="23" s="1"/>
  <c r="W44" i="33"/>
  <c r="W45" i="33" s="1"/>
  <c r="L197" i="23" s="1"/>
  <c r="O197" i="23" s="1"/>
  <c r="V44" i="33"/>
  <c r="V45" i="33" s="1"/>
  <c r="L196" i="23" s="1"/>
  <c r="O196" i="23" s="1"/>
  <c r="U44" i="33"/>
  <c r="U45" i="33" s="1"/>
  <c r="L195" i="23" s="1"/>
  <c r="O195" i="23" s="1"/>
  <c r="T44" i="33"/>
  <c r="T45" i="33" s="1"/>
  <c r="L194" i="23" s="1"/>
  <c r="O194" i="23" s="1"/>
  <c r="S44" i="33"/>
  <c r="S45" i="33" s="1"/>
  <c r="L193" i="23" s="1"/>
  <c r="O193" i="23" s="1"/>
  <c r="R44" i="33"/>
  <c r="R45" i="33" s="1"/>
  <c r="L192" i="23" s="1"/>
  <c r="O192" i="23" s="1"/>
  <c r="P44" i="33"/>
  <c r="P43" i="33"/>
  <c r="P42" i="33"/>
  <c r="AC41" i="33"/>
  <c r="AC42" i="33" s="1"/>
  <c r="D203" i="23" s="1"/>
  <c r="J203" i="23" s="1"/>
  <c r="K203" i="23" s="1"/>
  <c r="AB41" i="33"/>
  <c r="AB42" i="33" s="1"/>
  <c r="D202" i="23" s="1"/>
  <c r="J202" i="23" s="1"/>
  <c r="K202" i="23" s="1"/>
  <c r="AA41" i="33"/>
  <c r="AA42" i="33" s="1"/>
  <c r="D201" i="23" s="1"/>
  <c r="J201" i="23" s="1"/>
  <c r="K201" i="23" s="1"/>
  <c r="Z41" i="33"/>
  <c r="Z42" i="33" s="1"/>
  <c r="D200" i="23" s="1"/>
  <c r="J200" i="23" s="1"/>
  <c r="K200" i="23" s="1"/>
  <c r="Y41" i="33"/>
  <c r="Y42" i="33" s="1"/>
  <c r="D199" i="23" s="1"/>
  <c r="J199" i="23" s="1"/>
  <c r="K199" i="23" s="1"/>
  <c r="X41" i="33"/>
  <c r="X42" i="33" s="1"/>
  <c r="D198" i="23" s="1"/>
  <c r="J198" i="23" s="1"/>
  <c r="K198" i="23" s="1"/>
  <c r="W41" i="33"/>
  <c r="W42" i="33" s="1"/>
  <c r="D197" i="23" s="1"/>
  <c r="J197" i="23" s="1"/>
  <c r="K197" i="23" s="1"/>
  <c r="V41" i="33"/>
  <c r="V42" i="33" s="1"/>
  <c r="D196" i="23" s="1"/>
  <c r="J196" i="23" s="1"/>
  <c r="K196" i="23" s="1"/>
  <c r="U41" i="33"/>
  <c r="U42" i="33" s="1"/>
  <c r="D195" i="23" s="1"/>
  <c r="J195" i="23" s="1"/>
  <c r="K195" i="23" s="1"/>
  <c r="T41" i="33"/>
  <c r="T42" i="33" s="1"/>
  <c r="D194" i="23" s="1"/>
  <c r="J194" i="23" s="1"/>
  <c r="K194" i="23" s="1"/>
  <c r="S41" i="33"/>
  <c r="S42" i="33" s="1"/>
  <c r="D193" i="23" s="1"/>
  <c r="J193" i="23" s="1"/>
  <c r="K193" i="23" s="1"/>
  <c r="R41" i="33"/>
  <c r="R42" i="33" s="1"/>
  <c r="D192" i="23" s="1"/>
  <c r="J192" i="23" s="1"/>
  <c r="K192" i="23" s="1"/>
  <c r="P41" i="33"/>
  <c r="O36" i="33"/>
  <c r="N36" i="33"/>
  <c r="M36" i="33"/>
  <c r="L36" i="33"/>
  <c r="K36" i="33"/>
  <c r="J36" i="33"/>
  <c r="I36" i="33"/>
  <c r="I49" i="33" s="1"/>
  <c r="H36" i="33"/>
  <c r="G36" i="33"/>
  <c r="F36" i="33"/>
  <c r="E36" i="33"/>
  <c r="D36" i="33"/>
  <c r="P35" i="33"/>
  <c r="P34" i="33"/>
  <c r="AC33" i="33"/>
  <c r="AB33" i="33"/>
  <c r="AA33" i="33"/>
  <c r="Z33" i="33"/>
  <c r="Y33" i="33"/>
  <c r="X33" i="33"/>
  <c r="W33" i="33"/>
  <c r="V33" i="33"/>
  <c r="U33" i="33"/>
  <c r="T33" i="33"/>
  <c r="S33" i="33"/>
  <c r="R33" i="33"/>
  <c r="P33" i="33"/>
  <c r="P32" i="33"/>
  <c r="AC31" i="33"/>
  <c r="AB31" i="33"/>
  <c r="AA31" i="33"/>
  <c r="Z31" i="33"/>
  <c r="Y31" i="33"/>
  <c r="X31" i="33"/>
  <c r="W31" i="33"/>
  <c r="V31" i="33"/>
  <c r="U31" i="33"/>
  <c r="T31" i="33"/>
  <c r="S31" i="33"/>
  <c r="R31" i="33"/>
  <c r="P31" i="33"/>
  <c r="AA34" i="34"/>
  <c r="W34" i="34"/>
  <c r="U34" i="34"/>
  <c r="S34" i="34"/>
  <c r="Q34" i="34"/>
  <c r="O34" i="34"/>
  <c r="M34" i="34"/>
  <c r="K34" i="34"/>
  <c r="I34" i="34"/>
  <c r="G34" i="34"/>
  <c r="H31" i="34"/>
  <c r="H34" i="34" s="1"/>
  <c r="G7" i="35" s="1"/>
  <c r="AA30" i="34"/>
  <c r="W30" i="34"/>
  <c r="U30" i="34"/>
  <c r="S30" i="34"/>
  <c r="Q30" i="34"/>
  <c r="O30" i="34"/>
  <c r="M30" i="34"/>
  <c r="K30" i="34"/>
  <c r="I30" i="34"/>
  <c r="G30" i="34"/>
  <c r="AA29" i="34"/>
  <c r="W29" i="34"/>
  <c r="U29" i="34"/>
  <c r="S29" i="34"/>
  <c r="Q29" i="34"/>
  <c r="O29" i="34"/>
  <c r="M29" i="34"/>
  <c r="K29" i="34"/>
  <c r="I29" i="34"/>
  <c r="G29" i="34"/>
  <c r="H26" i="34"/>
  <c r="H25" i="34"/>
  <c r="H23" i="34"/>
  <c r="H29" i="34" s="1"/>
  <c r="F7" i="35" s="1"/>
  <c r="AA22" i="34"/>
  <c r="W22" i="34"/>
  <c r="U22" i="34"/>
  <c r="S22" i="34"/>
  <c r="Q22" i="34"/>
  <c r="O22" i="34"/>
  <c r="M22" i="34"/>
  <c r="K22" i="34"/>
  <c r="I22" i="34"/>
  <c r="G22" i="34"/>
  <c r="AA21" i="34"/>
  <c r="W21" i="34"/>
  <c r="U21" i="34"/>
  <c r="S21" i="34"/>
  <c r="Q21" i="34"/>
  <c r="O21" i="34"/>
  <c r="M21" i="34"/>
  <c r="K21" i="34"/>
  <c r="I21" i="34"/>
  <c r="G21" i="34"/>
  <c r="H19" i="34"/>
  <c r="H11" i="34"/>
  <c r="H10" i="34"/>
  <c r="H9" i="34"/>
  <c r="AA7" i="34"/>
  <c r="W7" i="34"/>
  <c r="U7" i="34"/>
  <c r="S7" i="34"/>
  <c r="Q7" i="34"/>
  <c r="O7" i="34"/>
  <c r="M7" i="34"/>
  <c r="K7" i="34"/>
  <c r="I7" i="34"/>
  <c r="G7" i="34"/>
  <c r="H5" i="34"/>
  <c r="H4" i="34"/>
  <c r="H7" i="34" s="1"/>
  <c r="D7" i="35" s="1"/>
  <c r="H21" i="34" l="1"/>
  <c r="E7" i="35" s="1"/>
  <c r="J7" i="34"/>
  <c r="D8" i="35" s="1"/>
  <c r="J34" i="34"/>
  <c r="G8" i="35" s="1"/>
  <c r="L21" i="34"/>
  <c r="E9" i="35" s="1"/>
  <c r="L41" i="34"/>
  <c r="L43" i="34" s="1"/>
  <c r="I9" i="35"/>
  <c r="H41" i="34"/>
  <c r="I7" i="35"/>
  <c r="J41" i="34"/>
  <c r="J43" i="34" s="1"/>
  <c r="I8" i="35"/>
  <c r="N7" i="34"/>
  <c r="D10" i="35" s="1"/>
  <c r="N34" i="34"/>
  <c r="G10" i="35" s="1"/>
  <c r="P21" i="34"/>
  <c r="E11" i="35" s="1"/>
  <c r="R7" i="34"/>
  <c r="D12" i="35" s="1"/>
  <c r="R34" i="34"/>
  <c r="G12" i="35" s="1"/>
  <c r="T21" i="34"/>
  <c r="E13" i="35" s="1"/>
  <c r="T29" i="34"/>
  <c r="F13" i="35" s="1"/>
  <c r="V7" i="34"/>
  <c r="D14" i="35" s="1"/>
  <c r="X21" i="34"/>
  <c r="E15" i="35" s="1"/>
  <c r="Z21" i="34"/>
  <c r="E16" i="35" s="1"/>
  <c r="Z41" i="34"/>
  <c r="Z43" i="34" s="1"/>
  <c r="I16" i="35"/>
  <c r="L16" i="35" s="1"/>
  <c r="AB21" i="34"/>
  <c r="E17" i="35" s="1"/>
  <c r="AB41" i="34"/>
  <c r="AB43" i="34" s="1"/>
  <c r="I17" i="35"/>
  <c r="L17" i="35" s="1"/>
  <c r="C87" i="6"/>
  <c r="D74" i="24"/>
  <c r="F74" i="24" s="1"/>
  <c r="C88" i="6"/>
  <c r="D75" i="24"/>
  <c r="F75" i="24" s="1"/>
  <c r="K30" i="35"/>
  <c r="J30" i="35"/>
  <c r="C89" i="6"/>
  <c r="D76" i="24"/>
  <c r="F76" i="24" s="1"/>
  <c r="C90" i="6"/>
  <c r="D77" i="24"/>
  <c r="F77" i="24" s="1"/>
  <c r="C91" i="6"/>
  <c r="D78" i="24"/>
  <c r="F78" i="24" s="1"/>
  <c r="C95" i="6"/>
  <c r="D82" i="24"/>
  <c r="F82" i="24" s="1"/>
  <c r="J51" i="34"/>
  <c r="D28" i="35" s="1"/>
  <c r="Z51" i="34"/>
  <c r="D36" i="35" s="1"/>
  <c r="AD51" i="34"/>
  <c r="D38" i="35" s="1"/>
  <c r="E85" i="6"/>
  <c r="J72" i="24"/>
  <c r="E86" i="6"/>
  <c r="E104" i="6" s="1"/>
  <c r="J73" i="24"/>
  <c r="L73" i="24" s="1"/>
  <c r="E87" i="6"/>
  <c r="E105" i="6" s="1"/>
  <c r="J74" i="24"/>
  <c r="L74" i="24" s="1"/>
  <c r="E88" i="6"/>
  <c r="E106" i="6" s="1"/>
  <c r="J75" i="24"/>
  <c r="L75" i="24" s="1"/>
  <c r="E90" i="6"/>
  <c r="E108" i="6" s="1"/>
  <c r="J77" i="24"/>
  <c r="L77" i="24" s="1"/>
  <c r="E92" i="6"/>
  <c r="E110" i="6" s="1"/>
  <c r="J79" i="24"/>
  <c r="L79" i="24" s="1"/>
  <c r="E94" i="6"/>
  <c r="E112" i="6" s="1"/>
  <c r="J81" i="24"/>
  <c r="L81" i="24" s="1"/>
  <c r="E96" i="6"/>
  <c r="E114" i="6" s="1"/>
  <c r="J83" i="24"/>
  <c r="L83" i="24" s="1"/>
  <c r="F85" i="6"/>
  <c r="M72" i="24"/>
  <c r="F86" i="6"/>
  <c r="L104" i="6" s="1"/>
  <c r="M73" i="24"/>
  <c r="O73" i="24" s="1"/>
  <c r="F87" i="6"/>
  <c r="L105" i="6" s="1"/>
  <c r="M74" i="24"/>
  <c r="O74" i="24" s="1"/>
  <c r="F88" i="6"/>
  <c r="L106" i="6" s="1"/>
  <c r="M75" i="24"/>
  <c r="O75" i="24" s="1"/>
  <c r="F89" i="6"/>
  <c r="L107" i="6" s="1"/>
  <c r="M76" i="24"/>
  <c r="O76" i="24" s="1"/>
  <c r="F92" i="6"/>
  <c r="L110" i="6" s="1"/>
  <c r="M79" i="24"/>
  <c r="O79" i="24" s="1"/>
  <c r="H38" i="35"/>
  <c r="G38" i="35"/>
  <c r="R78" i="34"/>
  <c r="T78" i="34"/>
  <c r="G85" i="6"/>
  <c r="P72" i="24"/>
  <c r="G86" i="6"/>
  <c r="F104" i="6" s="1"/>
  <c r="P73" i="24"/>
  <c r="R73" i="24" s="1"/>
  <c r="G87" i="6"/>
  <c r="F105" i="6" s="1"/>
  <c r="P74" i="24"/>
  <c r="R74" i="24" s="1"/>
  <c r="G88" i="6"/>
  <c r="F106" i="6" s="1"/>
  <c r="P75" i="24"/>
  <c r="R75" i="24" s="1"/>
  <c r="G89" i="6"/>
  <c r="F107" i="6" s="1"/>
  <c r="P76" i="24"/>
  <c r="R76" i="24" s="1"/>
  <c r="G92" i="6"/>
  <c r="F110" i="6" s="1"/>
  <c r="P79" i="24"/>
  <c r="R79" i="24" s="1"/>
  <c r="G93" i="6"/>
  <c r="F111" i="6" s="1"/>
  <c r="P80" i="24"/>
  <c r="R80" i="24" s="1"/>
  <c r="G94" i="6"/>
  <c r="F112" i="6" s="1"/>
  <c r="P81" i="24"/>
  <c r="R81" i="24" s="1"/>
  <c r="I40" i="35"/>
  <c r="J85" i="6"/>
  <c r="S72" i="24"/>
  <c r="L27" i="35"/>
  <c r="I39" i="35"/>
  <c r="L28" i="35"/>
  <c r="J86" i="6"/>
  <c r="J104" i="6" s="1"/>
  <c r="S73" i="24"/>
  <c r="U73" i="24" s="1"/>
  <c r="L29" i="35"/>
  <c r="J87" i="6"/>
  <c r="J105" i="6" s="1"/>
  <c r="S74" i="24"/>
  <c r="U74" i="24" s="1"/>
  <c r="L30" i="35"/>
  <c r="N30" i="35" s="1"/>
  <c r="J88" i="6"/>
  <c r="J106" i="6" s="1"/>
  <c r="S75" i="24"/>
  <c r="U75" i="24" s="1"/>
  <c r="L31" i="35"/>
  <c r="J89" i="6"/>
  <c r="J107" i="6" s="1"/>
  <c r="S76" i="24"/>
  <c r="U76" i="24" s="1"/>
  <c r="L32" i="35"/>
  <c r="J90" i="6"/>
  <c r="J108" i="6" s="1"/>
  <c r="S77" i="24"/>
  <c r="U77" i="24" s="1"/>
  <c r="L33" i="35"/>
  <c r="J91" i="6"/>
  <c r="J109" i="6" s="1"/>
  <c r="S78" i="24"/>
  <c r="U78" i="24" s="1"/>
  <c r="L34" i="35"/>
  <c r="J92" i="6"/>
  <c r="J110" i="6" s="1"/>
  <c r="S79" i="24"/>
  <c r="U79" i="24" s="1"/>
  <c r="L35" i="35"/>
  <c r="J93" i="6"/>
  <c r="J111" i="6" s="1"/>
  <c r="S80" i="24"/>
  <c r="U80" i="24" s="1"/>
  <c r="L36" i="35"/>
  <c r="J94" i="6"/>
  <c r="J112" i="6" s="1"/>
  <c r="S81" i="24"/>
  <c r="U81" i="24" s="1"/>
  <c r="L37" i="35"/>
  <c r="J95" i="6"/>
  <c r="J113" i="6" s="1"/>
  <c r="S82" i="24"/>
  <c r="U82" i="24" s="1"/>
  <c r="L38" i="35"/>
  <c r="J96" i="6"/>
  <c r="J114" i="6" s="1"/>
  <c r="S83" i="24"/>
  <c r="U83" i="24" s="1"/>
  <c r="D86" i="6"/>
  <c r="D104" i="6" s="1"/>
  <c r="G73" i="24"/>
  <c r="I73" i="24" s="1"/>
  <c r="L65" i="34"/>
  <c r="E29" i="35" s="1"/>
  <c r="D88" i="6"/>
  <c r="D106" i="6" s="1"/>
  <c r="G75" i="24"/>
  <c r="I75" i="24" s="1"/>
  <c r="D89" i="6"/>
  <c r="D107" i="6" s="1"/>
  <c r="G76" i="24"/>
  <c r="I76" i="24" s="1"/>
  <c r="D90" i="6"/>
  <c r="D108" i="6" s="1"/>
  <c r="G77" i="24"/>
  <c r="I77" i="24" s="1"/>
  <c r="T65" i="34"/>
  <c r="E33" i="35" s="1"/>
  <c r="D92" i="6"/>
  <c r="D110" i="6" s="1"/>
  <c r="G79" i="24"/>
  <c r="I79" i="24" s="1"/>
  <c r="X65" i="34"/>
  <c r="E35" i="35" s="1"/>
  <c r="Z65" i="34"/>
  <c r="E36" i="35" s="1"/>
  <c r="D95" i="6"/>
  <c r="D113" i="6" s="1"/>
  <c r="G82" i="24"/>
  <c r="I82" i="24" s="1"/>
  <c r="AD65" i="34"/>
  <c r="E38" i="35" s="1"/>
  <c r="P79" i="15"/>
  <c r="H20" i="35"/>
  <c r="AD34" i="34"/>
  <c r="G18" i="35" s="1"/>
  <c r="AD29" i="34"/>
  <c r="F18" i="35" s="1"/>
  <c r="AD21" i="34"/>
  <c r="E18" i="35" s="1"/>
  <c r="C25" i="6"/>
  <c r="D21" i="24"/>
  <c r="C33" i="6"/>
  <c r="D29" i="24"/>
  <c r="D29" i="6"/>
  <c r="G25" i="24"/>
  <c r="E25" i="6"/>
  <c r="J21" i="24"/>
  <c r="E33" i="6"/>
  <c r="J29" i="24"/>
  <c r="F29" i="6"/>
  <c r="M25" i="24"/>
  <c r="G32" i="6"/>
  <c r="P28" i="24"/>
  <c r="J28" i="6"/>
  <c r="S24" i="24"/>
  <c r="J36" i="6"/>
  <c r="J54" i="6" s="1"/>
  <c r="S32" i="24"/>
  <c r="C26" i="6"/>
  <c r="D22" i="24"/>
  <c r="C34" i="6"/>
  <c r="D30" i="24"/>
  <c r="D30" i="6"/>
  <c r="G26" i="24"/>
  <c r="E26" i="6"/>
  <c r="J22" i="24"/>
  <c r="E34" i="6"/>
  <c r="J30" i="24"/>
  <c r="F30" i="6"/>
  <c r="M26" i="24"/>
  <c r="G25" i="6"/>
  <c r="P21" i="24"/>
  <c r="G33" i="6"/>
  <c r="P29" i="24"/>
  <c r="J29" i="6"/>
  <c r="S25" i="24"/>
  <c r="C32" i="6"/>
  <c r="D28" i="24"/>
  <c r="L9" i="35"/>
  <c r="J27" i="6"/>
  <c r="S23" i="24"/>
  <c r="C27" i="6"/>
  <c r="D23" i="24"/>
  <c r="C35" i="6"/>
  <c r="D31" i="24"/>
  <c r="D31" i="6"/>
  <c r="G27" i="24"/>
  <c r="E27" i="6"/>
  <c r="J23" i="24"/>
  <c r="E35" i="6"/>
  <c r="J31" i="24"/>
  <c r="F31" i="6"/>
  <c r="M27" i="24"/>
  <c r="G26" i="6"/>
  <c r="P22" i="24"/>
  <c r="G34" i="6"/>
  <c r="P30" i="24"/>
  <c r="J30" i="6"/>
  <c r="S26" i="24"/>
  <c r="F28" i="6"/>
  <c r="M24" i="24"/>
  <c r="C28" i="6"/>
  <c r="D24" i="24"/>
  <c r="C36" i="6"/>
  <c r="C54" i="6" s="1"/>
  <c r="D32" i="24"/>
  <c r="D32" i="6"/>
  <c r="G28" i="24"/>
  <c r="E28" i="6"/>
  <c r="J24" i="24"/>
  <c r="F32" i="6"/>
  <c r="M28" i="24"/>
  <c r="G27" i="6"/>
  <c r="P23" i="24"/>
  <c r="G35" i="6"/>
  <c r="P31" i="24"/>
  <c r="J31" i="6"/>
  <c r="S27" i="24"/>
  <c r="C29" i="6"/>
  <c r="D25" i="24"/>
  <c r="D25" i="6"/>
  <c r="G21" i="24"/>
  <c r="D33" i="6"/>
  <c r="G29" i="24"/>
  <c r="E29" i="6"/>
  <c r="J25" i="24"/>
  <c r="F25" i="6"/>
  <c r="M21" i="24"/>
  <c r="F33" i="6"/>
  <c r="M29" i="24"/>
  <c r="G28" i="6"/>
  <c r="P24" i="24"/>
  <c r="G36" i="6"/>
  <c r="F54" i="6" s="1"/>
  <c r="P32" i="24"/>
  <c r="L14" i="35"/>
  <c r="J32" i="6"/>
  <c r="S28" i="24"/>
  <c r="G31" i="6"/>
  <c r="P27" i="24"/>
  <c r="C30" i="6"/>
  <c r="D26" i="24"/>
  <c r="D26" i="6"/>
  <c r="G22" i="24"/>
  <c r="D34" i="6"/>
  <c r="G30" i="24"/>
  <c r="E30" i="6"/>
  <c r="J26" i="24"/>
  <c r="F26" i="6"/>
  <c r="M22" i="24"/>
  <c r="F34" i="6"/>
  <c r="M30" i="24"/>
  <c r="G29" i="6"/>
  <c r="P25" i="24"/>
  <c r="J25" i="6"/>
  <c r="S21" i="24"/>
  <c r="L15" i="35"/>
  <c r="J33" i="6"/>
  <c r="S29" i="24"/>
  <c r="D28" i="6"/>
  <c r="G24" i="24"/>
  <c r="E32" i="6"/>
  <c r="J28" i="24"/>
  <c r="F36" i="6"/>
  <c r="L54" i="6" s="1"/>
  <c r="M32" i="24"/>
  <c r="J35" i="6"/>
  <c r="S31" i="24"/>
  <c r="C31" i="6"/>
  <c r="D27" i="24"/>
  <c r="D27" i="6"/>
  <c r="G23" i="24"/>
  <c r="D35" i="6"/>
  <c r="G31" i="24"/>
  <c r="E31" i="6"/>
  <c r="J27" i="24"/>
  <c r="F27" i="6"/>
  <c r="M23" i="24"/>
  <c r="F35" i="6"/>
  <c r="M31" i="24"/>
  <c r="G30" i="6"/>
  <c r="P26" i="24"/>
  <c r="L8" i="35"/>
  <c r="J26" i="6"/>
  <c r="S22" i="24"/>
  <c r="J34" i="6"/>
  <c r="S30" i="24"/>
  <c r="G49" i="33"/>
  <c r="O49" i="33"/>
  <c r="R199" i="23"/>
  <c r="I40" i="14" s="1"/>
  <c r="P199" i="23"/>
  <c r="Q199" i="23" s="1"/>
  <c r="E215" i="23" s="1"/>
  <c r="R193" i="23"/>
  <c r="I34" i="14" s="1"/>
  <c r="P193" i="23"/>
  <c r="Q193" i="23" s="1"/>
  <c r="E209" i="23" s="1"/>
  <c r="R201" i="23"/>
  <c r="I42" i="14" s="1"/>
  <c r="P201" i="23"/>
  <c r="Q201" i="23" s="1"/>
  <c r="E217" i="23" s="1"/>
  <c r="R198" i="23"/>
  <c r="I39" i="14" s="1"/>
  <c r="P198" i="23"/>
  <c r="Q198" i="23" s="1"/>
  <c r="E214" i="23" s="1"/>
  <c r="R200" i="23"/>
  <c r="I41" i="14" s="1"/>
  <c r="P200" i="23"/>
  <c r="Q200" i="23" s="1"/>
  <c r="E216" i="23" s="1"/>
  <c r="R194" i="23"/>
  <c r="I35" i="14" s="1"/>
  <c r="P194" i="23"/>
  <c r="Q194" i="23" s="1"/>
  <c r="E210" i="23" s="1"/>
  <c r="P202" i="23"/>
  <c r="Q202" i="23" s="1"/>
  <c r="E218" i="23" s="1"/>
  <c r="R202" i="23"/>
  <c r="I43" i="14" s="1"/>
  <c r="P192" i="23"/>
  <c r="Q192" i="23" s="1"/>
  <c r="E208" i="23" s="1"/>
  <c r="R192" i="23"/>
  <c r="I33" i="14" s="1"/>
  <c r="P195" i="23"/>
  <c r="Q195" i="23" s="1"/>
  <c r="E211" i="23" s="1"/>
  <c r="R195" i="23"/>
  <c r="I36" i="14" s="1"/>
  <c r="P203" i="23"/>
  <c r="Q203" i="23" s="1"/>
  <c r="E219" i="23" s="1"/>
  <c r="R203" i="23"/>
  <c r="I44" i="14" s="1"/>
  <c r="P196" i="23"/>
  <c r="Q196" i="23" s="1"/>
  <c r="E212" i="23" s="1"/>
  <c r="R196" i="23"/>
  <c r="I37" i="14" s="1"/>
  <c r="P197" i="23"/>
  <c r="Q197" i="23" s="1"/>
  <c r="E213" i="23" s="1"/>
  <c r="R197" i="23"/>
  <c r="I38" i="14" s="1"/>
  <c r="D49" i="33"/>
  <c r="L49" i="33"/>
  <c r="AA35" i="37"/>
  <c r="D38" i="17" s="1"/>
  <c r="I20" i="35"/>
  <c r="I19" i="35"/>
  <c r="L7" i="35"/>
  <c r="H19" i="35"/>
  <c r="J11" i="35"/>
  <c r="U11" i="35" s="1"/>
  <c r="K12" i="35"/>
  <c r="D20" i="35"/>
  <c r="J13" i="35"/>
  <c r="P13" i="35" s="1"/>
  <c r="K14" i="35"/>
  <c r="K11" i="35"/>
  <c r="K16" i="35"/>
  <c r="K17" i="35"/>
  <c r="K15" i="35"/>
  <c r="G20" i="35"/>
  <c r="J12" i="35"/>
  <c r="U12" i="35" s="1"/>
  <c r="G19" i="35"/>
  <c r="K9" i="35"/>
  <c r="J8" i="35"/>
  <c r="U8" i="35" s="1"/>
  <c r="K8" i="35"/>
  <c r="J17" i="35"/>
  <c r="P17" i="35" s="1"/>
  <c r="J16" i="35"/>
  <c r="P16" i="35" s="1"/>
  <c r="J15" i="35"/>
  <c r="N15" i="35" s="1"/>
  <c r="J14" i="35"/>
  <c r="U14" i="35" s="1"/>
  <c r="K13" i="35"/>
  <c r="K10" i="35"/>
  <c r="E20" i="35"/>
  <c r="J10" i="35"/>
  <c r="N10" i="35" s="1"/>
  <c r="J9" i="35"/>
  <c r="D19" i="35"/>
  <c r="J7" i="35"/>
  <c r="K7" i="35"/>
  <c r="H65" i="34"/>
  <c r="AB78" i="34"/>
  <c r="Z78" i="34"/>
  <c r="G36" i="35" s="1"/>
  <c r="X78" i="34"/>
  <c r="G35" i="35" s="1"/>
  <c r="AB73" i="34"/>
  <c r="F37" i="35" s="1"/>
  <c r="X73" i="34"/>
  <c r="F35" i="35" s="1"/>
  <c r="AD85" i="34"/>
  <c r="AD87" i="34" s="1"/>
  <c r="X51" i="34"/>
  <c r="D35" i="35" s="1"/>
  <c r="V51" i="34"/>
  <c r="T73" i="34"/>
  <c r="R85" i="34"/>
  <c r="R87" i="34" s="1"/>
  <c r="P73" i="34"/>
  <c r="F31" i="35" s="1"/>
  <c r="L85" i="34"/>
  <c r="L87" i="34" s="1"/>
  <c r="J85" i="34"/>
  <c r="J87" i="34" s="1"/>
  <c r="H51" i="34"/>
  <c r="D27" i="35" s="1"/>
  <c r="AB85" i="34"/>
  <c r="AB87" i="34" s="1"/>
  <c r="N85" i="34"/>
  <c r="N87" i="34" s="1"/>
  <c r="X41" i="34"/>
  <c r="X43" i="34" s="1"/>
  <c r="V41" i="34"/>
  <c r="V43" i="34" s="1"/>
  <c r="T41" i="34"/>
  <c r="T43" i="34" s="1"/>
  <c r="R41" i="34"/>
  <c r="R43" i="34" s="1"/>
  <c r="P41" i="34"/>
  <c r="P43" i="34" s="1"/>
  <c r="N41" i="34"/>
  <c r="N43" i="34" s="1"/>
  <c r="Q19" i="35"/>
  <c r="H49" i="33"/>
  <c r="P46" i="33"/>
  <c r="N49" i="33"/>
  <c r="P36" i="33"/>
  <c r="E49" i="33"/>
  <c r="J49" i="33"/>
  <c r="M49" i="33"/>
  <c r="F49" i="33"/>
  <c r="K49" i="33"/>
  <c r="C85" i="6" l="1"/>
  <c r="D72" i="24"/>
  <c r="E89" i="6"/>
  <c r="E107" i="6" s="1"/>
  <c r="J76" i="24"/>
  <c r="L76" i="24" s="1"/>
  <c r="K31" i="35"/>
  <c r="J31" i="35"/>
  <c r="T85" i="34"/>
  <c r="T87" i="34" s="1"/>
  <c r="F33" i="35"/>
  <c r="D34" i="35"/>
  <c r="V85" i="34"/>
  <c r="V87" i="34" s="1"/>
  <c r="C93" i="6"/>
  <c r="D80" i="24"/>
  <c r="F80" i="24" s="1"/>
  <c r="K35" i="35"/>
  <c r="J35" i="35"/>
  <c r="E93" i="6"/>
  <c r="E111" i="6" s="1"/>
  <c r="J80" i="24"/>
  <c r="L80" i="24" s="1"/>
  <c r="E95" i="6"/>
  <c r="E113" i="6" s="1"/>
  <c r="J82" i="24"/>
  <c r="L82" i="24" s="1"/>
  <c r="F93" i="6"/>
  <c r="L111" i="6" s="1"/>
  <c r="M80" i="24"/>
  <c r="O80" i="24" s="1"/>
  <c r="F94" i="6"/>
  <c r="L112" i="6" s="1"/>
  <c r="M81" i="24"/>
  <c r="O81" i="24" s="1"/>
  <c r="H37" i="35"/>
  <c r="G37" i="35"/>
  <c r="H85" i="34"/>
  <c r="H87" i="34" s="1"/>
  <c r="E27" i="35"/>
  <c r="L20" i="35"/>
  <c r="J32" i="24"/>
  <c r="F20" i="35"/>
  <c r="Q79" i="15"/>
  <c r="P80" i="15"/>
  <c r="Q80" i="15" s="1"/>
  <c r="D96" i="6"/>
  <c r="D114" i="6" s="1"/>
  <c r="G83" i="24"/>
  <c r="I83" i="24" s="1"/>
  <c r="D94" i="6"/>
  <c r="D112" i="6" s="1"/>
  <c r="G81" i="24"/>
  <c r="I81" i="24" s="1"/>
  <c r="D93" i="6"/>
  <c r="D111" i="6" s="1"/>
  <c r="G80" i="24"/>
  <c r="I80" i="24" s="1"/>
  <c r="D91" i="6"/>
  <c r="D109" i="6" s="1"/>
  <c r="G78" i="24"/>
  <c r="I78" i="24" s="1"/>
  <c r="D87" i="6"/>
  <c r="D105" i="6" s="1"/>
  <c r="G74" i="24"/>
  <c r="I74" i="24" s="1"/>
  <c r="K29" i="35"/>
  <c r="J29" i="35"/>
  <c r="Y80" i="24"/>
  <c r="N35" i="35"/>
  <c r="Y76" i="24"/>
  <c r="N31" i="35"/>
  <c r="Y75" i="24"/>
  <c r="Y74" i="24"/>
  <c r="N29" i="35"/>
  <c r="L39" i="35"/>
  <c r="L40" i="35"/>
  <c r="U72" i="24"/>
  <c r="S84" i="24"/>
  <c r="J97" i="6"/>
  <c r="J98" i="6"/>
  <c r="J103" i="6"/>
  <c r="R72" i="24"/>
  <c r="F103" i="6"/>
  <c r="H33" i="35"/>
  <c r="G33" i="35"/>
  <c r="H32" i="35"/>
  <c r="G32" i="35"/>
  <c r="F96" i="6"/>
  <c r="L114" i="6" s="1"/>
  <c r="M83" i="24"/>
  <c r="O83" i="24" s="1"/>
  <c r="G96" i="6"/>
  <c r="F114" i="6" s="1"/>
  <c r="P83" i="24"/>
  <c r="R83" i="24" s="1"/>
  <c r="O72" i="24"/>
  <c r="L103" i="6"/>
  <c r="L72" i="24"/>
  <c r="E103" i="6"/>
  <c r="C96" i="6"/>
  <c r="D83" i="24"/>
  <c r="F83" i="24" s="1"/>
  <c r="K38" i="35"/>
  <c r="J38" i="35"/>
  <c r="C94" i="6"/>
  <c r="D81" i="24"/>
  <c r="F81" i="24" s="1"/>
  <c r="Y81" i="24" s="1"/>
  <c r="K36" i="35"/>
  <c r="J36" i="35"/>
  <c r="C86" i="6"/>
  <c r="D73" i="24"/>
  <c r="F73" i="24" s="1"/>
  <c r="Y73" i="24" s="1"/>
  <c r="K28" i="35"/>
  <c r="J28" i="35"/>
  <c r="C113" i="6"/>
  <c r="C109" i="6"/>
  <c r="C108" i="6"/>
  <c r="C107" i="6"/>
  <c r="M107" i="6" s="1"/>
  <c r="K89" i="6"/>
  <c r="L71" i="6" s="1"/>
  <c r="M30" i="35"/>
  <c r="U30" i="35"/>
  <c r="P30" i="35"/>
  <c r="C106" i="6"/>
  <c r="M106" i="6" s="1"/>
  <c r="K88" i="6"/>
  <c r="L70" i="6" s="1"/>
  <c r="C105" i="6"/>
  <c r="M105" i="6" s="1"/>
  <c r="K87" i="6"/>
  <c r="L69" i="6" s="1"/>
  <c r="F19" i="35"/>
  <c r="E36" i="6"/>
  <c r="E54" i="6" s="1"/>
  <c r="K18" i="35"/>
  <c r="K19" i="35" s="1"/>
  <c r="AD41" i="34"/>
  <c r="AD43" i="34" s="1"/>
  <c r="D36" i="6"/>
  <c r="D54" i="6" s="1"/>
  <c r="J18" i="35"/>
  <c r="P18" i="35" s="1"/>
  <c r="G32" i="24"/>
  <c r="E19" i="35"/>
  <c r="L19" i="35"/>
  <c r="P11" i="35"/>
  <c r="N11" i="35"/>
  <c r="D217" i="23"/>
  <c r="M25" i="25"/>
  <c r="D212" i="23"/>
  <c r="H25" i="25"/>
  <c r="D218" i="23"/>
  <c r="N25" i="25"/>
  <c r="D210" i="23"/>
  <c r="F25" i="25"/>
  <c r="D219" i="23"/>
  <c r="O25" i="25"/>
  <c r="I45" i="14"/>
  <c r="D209" i="23"/>
  <c r="E25" i="25"/>
  <c r="Z39" i="37"/>
  <c r="D216" i="23"/>
  <c r="L25" i="25"/>
  <c r="D215" i="23"/>
  <c r="K25" i="25"/>
  <c r="D211" i="23"/>
  <c r="G25" i="25"/>
  <c r="D214" i="23"/>
  <c r="J25" i="25"/>
  <c r="D213" i="23"/>
  <c r="I25" i="25"/>
  <c r="D208" i="23"/>
  <c r="D25" i="25"/>
  <c r="M11" i="35"/>
  <c r="N13" i="35"/>
  <c r="M8" i="35"/>
  <c r="U13" i="35"/>
  <c r="M13" i="35"/>
  <c r="J20" i="35"/>
  <c r="U17" i="35"/>
  <c r="N17" i="35"/>
  <c r="M12" i="35"/>
  <c r="P12" i="35"/>
  <c r="N12" i="35"/>
  <c r="P8" i="35"/>
  <c r="N8" i="35"/>
  <c r="M17" i="35"/>
  <c r="N16" i="35"/>
  <c r="U16" i="35"/>
  <c r="P15" i="35"/>
  <c r="M14" i="35"/>
  <c r="N14" i="35"/>
  <c r="P14" i="35"/>
  <c r="M16" i="35"/>
  <c r="U15" i="35"/>
  <c r="M15" i="35"/>
  <c r="U10" i="35"/>
  <c r="P10" i="35"/>
  <c r="M10" i="35"/>
  <c r="U9" i="35"/>
  <c r="N9" i="35"/>
  <c r="P9" i="35"/>
  <c r="M9" i="35"/>
  <c r="K20" i="35"/>
  <c r="M7" i="35"/>
  <c r="U7" i="35"/>
  <c r="P7" i="35"/>
  <c r="N7" i="35"/>
  <c r="Z85" i="34"/>
  <c r="Z87" i="34" s="1"/>
  <c r="X85" i="34"/>
  <c r="X87" i="34" s="1"/>
  <c r="P85" i="34"/>
  <c r="P87" i="34" s="1"/>
  <c r="H43" i="34"/>
  <c r="F77" i="15" l="1"/>
  <c r="E164" i="51"/>
  <c r="F164" i="51" s="1"/>
  <c r="G77" i="15"/>
  <c r="E165" i="51"/>
  <c r="F165" i="51" s="1"/>
  <c r="H77" i="15"/>
  <c r="E166" i="51"/>
  <c r="F166" i="51" s="1"/>
  <c r="U28" i="35"/>
  <c r="P28" i="35"/>
  <c r="N28" i="35"/>
  <c r="M28" i="35"/>
  <c r="Z73" i="24"/>
  <c r="N34" i="14"/>
  <c r="O34" i="14" s="1"/>
  <c r="E190" i="51" s="1"/>
  <c r="F190" i="51" s="1"/>
  <c r="D89" i="24"/>
  <c r="K86" i="6"/>
  <c r="L68" i="6" s="1"/>
  <c r="C104" i="6"/>
  <c r="M104" i="6" s="1"/>
  <c r="P36" i="35"/>
  <c r="U36" i="35"/>
  <c r="N36" i="35"/>
  <c r="M36" i="35"/>
  <c r="Z81" i="24"/>
  <c r="N42" i="14"/>
  <c r="O42" i="14" s="1"/>
  <c r="E198" i="51" s="1"/>
  <c r="F198" i="51" s="1"/>
  <c r="D97" i="24"/>
  <c r="C112" i="6"/>
  <c r="M112" i="6" s="1"/>
  <c r="K94" i="6"/>
  <c r="L76" i="6" s="1"/>
  <c r="N38" i="35"/>
  <c r="U38" i="35"/>
  <c r="P38" i="35"/>
  <c r="M38" i="35"/>
  <c r="C114" i="6"/>
  <c r="M114" i="6" s="1"/>
  <c r="K96" i="6"/>
  <c r="L78" i="6" s="1"/>
  <c r="Y83" i="24"/>
  <c r="F90" i="6"/>
  <c r="M77" i="24"/>
  <c r="K32" i="35"/>
  <c r="J32" i="35"/>
  <c r="G40" i="35"/>
  <c r="G39" i="35"/>
  <c r="G90" i="6"/>
  <c r="P77" i="24"/>
  <c r="H39" i="35"/>
  <c r="H40" i="35"/>
  <c r="F91" i="6"/>
  <c r="L109" i="6" s="1"/>
  <c r="M78" i="24"/>
  <c r="O78" i="24" s="1"/>
  <c r="K33" i="35"/>
  <c r="J33" i="35"/>
  <c r="G91" i="6"/>
  <c r="F109" i="6" s="1"/>
  <c r="P78" i="24"/>
  <c r="R78" i="24" s="1"/>
  <c r="J115" i="6"/>
  <c r="J116" i="6"/>
  <c r="U84" i="24"/>
  <c r="Z74" i="24"/>
  <c r="N35" i="14"/>
  <c r="O35" i="14" s="1"/>
  <c r="D90" i="24"/>
  <c r="Z75" i="24"/>
  <c r="N36" i="14"/>
  <c r="O36" i="14" s="1"/>
  <c r="E192" i="51" s="1"/>
  <c r="F192" i="51" s="1"/>
  <c r="D91" i="24"/>
  <c r="Z76" i="24"/>
  <c r="N37" i="14"/>
  <c r="O37" i="14" s="1"/>
  <c r="E193" i="51" s="1"/>
  <c r="F193" i="51" s="1"/>
  <c r="D92" i="24"/>
  <c r="N41" i="14"/>
  <c r="O41" i="14" s="1"/>
  <c r="E197" i="51" s="1"/>
  <c r="F197" i="51" s="1"/>
  <c r="Z80" i="24"/>
  <c r="D96" i="24"/>
  <c r="U29" i="35"/>
  <c r="P29" i="35"/>
  <c r="M29" i="35"/>
  <c r="E40" i="35"/>
  <c r="D85" i="6"/>
  <c r="G72" i="24"/>
  <c r="E39" i="35"/>
  <c r="J27" i="35"/>
  <c r="K27" i="35"/>
  <c r="F95" i="6"/>
  <c r="M82" i="24"/>
  <c r="O82" i="24" s="1"/>
  <c r="J37" i="35"/>
  <c r="K37" i="35"/>
  <c r="M37" i="35" s="1"/>
  <c r="G95" i="6"/>
  <c r="F113" i="6" s="1"/>
  <c r="P82" i="24"/>
  <c r="R82" i="24" s="1"/>
  <c r="Y82" i="24" s="1"/>
  <c r="P35" i="35"/>
  <c r="U35" i="35"/>
  <c r="M35" i="35"/>
  <c r="C111" i="6"/>
  <c r="M111" i="6" s="1"/>
  <c r="K93" i="6"/>
  <c r="L75" i="6" s="1"/>
  <c r="C92" i="6"/>
  <c r="D79" i="24"/>
  <c r="F79" i="24" s="1"/>
  <c r="Y79" i="24" s="1"/>
  <c r="K34" i="35"/>
  <c r="J34" i="35"/>
  <c r="D40" i="35"/>
  <c r="D39" i="35"/>
  <c r="E91" i="6"/>
  <c r="J78" i="24"/>
  <c r="F40" i="35"/>
  <c r="F39" i="35"/>
  <c r="P31" i="35"/>
  <c r="U31" i="35"/>
  <c r="M31" i="35"/>
  <c r="F72" i="24"/>
  <c r="F84" i="24" s="1"/>
  <c r="D84" i="24"/>
  <c r="C103" i="6"/>
  <c r="C97" i="6"/>
  <c r="K85" i="6"/>
  <c r="C98" i="6"/>
  <c r="U18" i="35"/>
  <c r="M18" i="35"/>
  <c r="N18" i="35"/>
  <c r="J19" i="35"/>
  <c r="P19" i="35" s="1"/>
  <c r="E191" i="51"/>
  <c r="F191" i="51" s="1"/>
  <c r="P25" i="25"/>
  <c r="D30" i="17"/>
  <c r="AA39" i="37"/>
  <c r="AA40" i="37"/>
  <c r="S19" i="33"/>
  <c r="S20" i="33" s="1"/>
  <c r="L82" i="23" s="1"/>
  <c r="T19" i="33"/>
  <c r="T20" i="33" s="1"/>
  <c r="L83" i="23" s="1"/>
  <c r="U19" i="33"/>
  <c r="U20" i="33" s="1"/>
  <c r="L84" i="23" s="1"/>
  <c r="V19" i="33"/>
  <c r="V20" i="33" s="1"/>
  <c r="L85" i="23" s="1"/>
  <c r="W19" i="33"/>
  <c r="W20" i="33" s="1"/>
  <c r="L86" i="23" s="1"/>
  <c r="X19" i="33"/>
  <c r="X20" i="33" s="1"/>
  <c r="L87" i="23" s="1"/>
  <c r="Y19" i="33"/>
  <c r="Y20" i="33" s="1"/>
  <c r="L88" i="23" s="1"/>
  <c r="Z19" i="33"/>
  <c r="Z20" i="33" s="1"/>
  <c r="L89" i="23" s="1"/>
  <c r="AA19" i="33"/>
  <c r="AA20" i="33" s="1"/>
  <c r="L90" i="23" s="1"/>
  <c r="AB19" i="33"/>
  <c r="AB20" i="33" s="1"/>
  <c r="L91" i="23" s="1"/>
  <c r="AC19" i="33"/>
  <c r="AC20" i="33" s="1"/>
  <c r="L92" i="23" s="1"/>
  <c r="P17" i="33"/>
  <c r="P18" i="33"/>
  <c r="P19" i="33"/>
  <c r="P20" i="33"/>
  <c r="P16" i="33"/>
  <c r="E21" i="33"/>
  <c r="F21" i="33"/>
  <c r="G21" i="33"/>
  <c r="H21" i="33"/>
  <c r="I21" i="33"/>
  <c r="J21" i="33"/>
  <c r="K21" i="33"/>
  <c r="L21" i="33"/>
  <c r="M21" i="33"/>
  <c r="N21" i="33"/>
  <c r="O21" i="33"/>
  <c r="D21" i="33"/>
  <c r="R19" i="33"/>
  <c r="R20" i="33" s="1"/>
  <c r="L81" i="23" s="1"/>
  <c r="S16" i="33"/>
  <c r="S17" i="33" s="1"/>
  <c r="D82" i="23" s="1"/>
  <c r="T16" i="33"/>
  <c r="T17" i="33" s="1"/>
  <c r="D83" i="23" s="1"/>
  <c r="U16" i="33"/>
  <c r="U17" i="33" s="1"/>
  <c r="D84" i="23" s="1"/>
  <c r="V16" i="33"/>
  <c r="V17" i="33" s="1"/>
  <c r="D85" i="23" s="1"/>
  <c r="W16" i="33"/>
  <c r="W17" i="33" s="1"/>
  <c r="D86" i="23" s="1"/>
  <c r="X16" i="33"/>
  <c r="X17" i="33" s="1"/>
  <c r="D87" i="23" s="1"/>
  <c r="Y16" i="33"/>
  <c r="Y17" i="33" s="1"/>
  <c r="D88" i="23" s="1"/>
  <c r="Z16" i="33"/>
  <c r="Z17" i="33" s="1"/>
  <c r="D89" i="23" s="1"/>
  <c r="AA16" i="33"/>
  <c r="AA17" i="33" s="1"/>
  <c r="D90" i="23" s="1"/>
  <c r="AB16" i="33"/>
  <c r="AB17" i="33" s="1"/>
  <c r="D91" i="23" s="1"/>
  <c r="AC16" i="33"/>
  <c r="AC17" i="33" s="1"/>
  <c r="D92" i="23" s="1"/>
  <c r="R16" i="33"/>
  <c r="R17" i="33" s="1"/>
  <c r="D81" i="23" s="1"/>
  <c r="S8" i="33"/>
  <c r="T8" i="33"/>
  <c r="U8" i="33"/>
  <c r="V8" i="33"/>
  <c r="W8" i="33"/>
  <c r="X8" i="33"/>
  <c r="Y8" i="33"/>
  <c r="Z8" i="33"/>
  <c r="AA8" i="33"/>
  <c r="AB8" i="33"/>
  <c r="AC8" i="33"/>
  <c r="R8" i="33"/>
  <c r="T6" i="33"/>
  <c r="U6" i="33"/>
  <c r="V6" i="33"/>
  <c r="W6" i="33"/>
  <c r="X6" i="33"/>
  <c r="Y6" i="33"/>
  <c r="Z6" i="33"/>
  <c r="AA6" i="33"/>
  <c r="AB6" i="33"/>
  <c r="AC6" i="33"/>
  <c r="S6" i="33"/>
  <c r="R6" i="33"/>
  <c r="O11" i="33"/>
  <c r="P7" i="33"/>
  <c r="P8" i="33"/>
  <c r="P9" i="33"/>
  <c r="P10" i="33"/>
  <c r="P6" i="33"/>
  <c r="I11" i="33"/>
  <c r="J11" i="33"/>
  <c r="K11" i="33"/>
  <c r="L11" i="33"/>
  <c r="M11" i="33"/>
  <c r="N11" i="33"/>
  <c r="E11" i="33"/>
  <c r="F11" i="33"/>
  <c r="G11" i="33"/>
  <c r="H11" i="33"/>
  <c r="D11" i="33"/>
  <c r="D24" i="33" l="1"/>
  <c r="Z5" i="37" s="1"/>
  <c r="N24" i="33"/>
  <c r="Z15" i="37" s="1"/>
  <c r="AA15" i="37" s="1"/>
  <c r="D18" i="17" s="1"/>
  <c r="M24" i="33"/>
  <c r="Z14" i="37" s="1"/>
  <c r="AA14" i="37" s="1"/>
  <c r="D17" i="17" s="1"/>
  <c r="L24" i="33"/>
  <c r="Z13" i="37" s="1"/>
  <c r="AA13" i="37" s="1"/>
  <c r="D16" i="17" s="1"/>
  <c r="K24" i="33"/>
  <c r="Z12" i="37" s="1"/>
  <c r="AA12" i="37" s="1"/>
  <c r="D15" i="17" s="1"/>
  <c r="J24" i="33"/>
  <c r="Z11" i="37" s="1"/>
  <c r="AA11" i="37" s="1"/>
  <c r="D14" i="17" s="1"/>
  <c r="I24" i="33"/>
  <c r="Z10" i="37" s="1"/>
  <c r="AA10" i="37" s="1"/>
  <c r="D13" i="17" s="1"/>
  <c r="H24" i="33"/>
  <c r="Z9" i="37" s="1"/>
  <c r="AA9" i="37" s="1"/>
  <c r="D12" i="17" s="1"/>
  <c r="G24" i="33"/>
  <c r="Z8" i="37" s="1"/>
  <c r="AA8" i="37" s="1"/>
  <c r="D11" i="17" s="1"/>
  <c r="F24" i="33"/>
  <c r="Z7" i="37" s="1"/>
  <c r="AA7" i="37" s="1"/>
  <c r="D10" i="17" s="1"/>
  <c r="E24" i="33"/>
  <c r="Z6" i="37" s="1"/>
  <c r="AA6" i="37" s="1"/>
  <c r="D9" i="17" s="1"/>
  <c r="L67" i="6"/>
  <c r="L78" i="24"/>
  <c r="L84" i="24" s="1"/>
  <c r="J84" i="24"/>
  <c r="E109" i="6"/>
  <c r="E98" i="6"/>
  <c r="E97" i="6"/>
  <c r="K91" i="6"/>
  <c r="L73" i="6" s="1"/>
  <c r="P34" i="35"/>
  <c r="U34" i="35"/>
  <c r="N34" i="35"/>
  <c r="M34" i="35"/>
  <c r="Z79" i="24"/>
  <c r="N40" i="14"/>
  <c r="O40" i="14" s="1"/>
  <c r="E196" i="51" s="1"/>
  <c r="F196" i="51" s="1"/>
  <c r="D95" i="24"/>
  <c r="K92" i="6"/>
  <c r="L74" i="6" s="1"/>
  <c r="C110" i="6"/>
  <c r="L77" i="15"/>
  <c r="E170" i="51"/>
  <c r="F170" i="51" s="1"/>
  <c r="Z82" i="24"/>
  <c r="N43" i="14"/>
  <c r="O43" i="14" s="1"/>
  <c r="D98" i="24"/>
  <c r="U37" i="35"/>
  <c r="P37" i="35"/>
  <c r="N37" i="35"/>
  <c r="L113" i="6"/>
  <c r="M113" i="6" s="1"/>
  <c r="K95" i="6"/>
  <c r="L77" i="6" s="1"/>
  <c r="K39" i="35"/>
  <c r="K40" i="35"/>
  <c r="M27" i="35"/>
  <c r="P27" i="35"/>
  <c r="U27" i="35"/>
  <c r="J40" i="35"/>
  <c r="J39" i="35"/>
  <c r="P39" i="35" s="1"/>
  <c r="N27" i="35"/>
  <c r="I72" i="24"/>
  <c r="G84" i="24"/>
  <c r="D103" i="6"/>
  <c r="D97" i="6"/>
  <c r="D98" i="6"/>
  <c r="E96" i="24"/>
  <c r="G96" i="24"/>
  <c r="G92" i="24"/>
  <c r="E92" i="24"/>
  <c r="G91" i="24"/>
  <c r="E91" i="24"/>
  <c r="G90" i="24"/>
  <c r="E90" i="24"/>
  <c r="Y78" i="24"/>
  <c r="N33" i="35"/>
  <c r="P33" i="35"/>
  <c r="U33" i="35"/>
  <c r="M33" i="35"/>
  <c r="M109" i="6"/>
  <c r="R77" i="24"/>
  <c r="P84" i="24"/>
  <c r="F108" i="6"/>
  <c r="G97" i="6"/>
  <c r="G98" i="6"/>
  <c r="M32" i="35"/>
  <c r="P32" i="35"/>
  <c r="U32" i="35"/>
  <c r="N32" i="35"/>
  <c r="O77" i="24"/>
  <c r="O84" i="24" s="1"/>
  <c r="M84" i="24"/>
  <c r="L108" i="6"/>
  <c r="F98" i="6"/>
  <c r="F97" i="6"/>
  <c r="K90" i="6"/>
  <c r="Z83" i="24"/>
  <c r="N44" i="14"/>
  <c r="O44" i="14" s="1"/>
  <c r="E200" i="51" s="1"/>
  <c r="F200" i="51" s="1"/>
  <c r="D99" i="24"/>
  <c r="O77" i="15"/>
  <c r="E173" i="51"/>
  <c r="F173" i="51" s="1"/>
  <c r="E171" i="51"/>
  <c r="F171" i="51" s="1"/>
  <c r="M77" i="15"/>
  <c r="G97" i="24"/>
  <c r="E97" i="24"/>
  <c r="E77" i="15"/>
  <c r="E163" i="51"/>
  <c r="F163" i="51" s="1"/>
  <c r="G89" i="24"/>
  <c r="E89" i="24"/>
  <c r="O24" i="33"/>
  <c r="Z16" i="37" s="1"/>
  <c r="AA16" i="37" s="1"/>
  <c r="D19" i="17" s="1"/>
  <c r="Z17" i="37"/>
  <c r="AA5" i="37"/>
  <c r="P21" i="33"/>
  <c r="D42" i="17"/>
  <c r="D43" i="17"/>
  <c r="P11" i="33"/>
  <c r="H89" i="24" l="1"/>
  <c r="E26" i="25"/>
  <c r="H97" i="24"/>
  <c r="M26" i="25"/>
  <c r="G99" i="24"/>
  <c r="E99" i="24"/>
  <c r="L72" i="6"/>
  <c r="K97" i="6"/>
  <c r="K98" i="6"/>
  <c r="M108" i="6"/>
  <c r="L116" i="6"/>
  <c r="L115" i="6"/>
  <c r="F116" i="6"/>
  <c r="F115" i="6"/>
  <c r="Y77" i="24"/>
  <c r="R84" i="24"/>
  <c r="Z78" i="24"/>
  <c r="N39" i="14"/>
  <c r="O39" i="14" s="1"/>
  <c r="E195" i="51" s="1"/>
  <c r="F195" i="51" s="1"/>
  <c r="D94" i="24"/>
  <c r="H90" i="24"/>
  <c r="F26" i="25"/>
  <c r="H91" i="24"/>
  <c r="G26" i="25"/>
  <c r="H92" i="24"/>
  <c r="H26" i="25"/>
  <c r="H96" i="24"/>
  <c r="L26" i="25"/>
  <c r="D116" i="6"/>
  <c r="D115" i="6"/>
  <c r="M103" i="6"/>
  <c r="I84" i="24"/>
  <c r="Y72" i="24"/>
  <c r="N77" i="15"/>
  <c r="E172" i="51"/>
  <c r="F172" i="51" s="1"/>
  <c r="E98" i="24"/>
  <c r="G98" i="24"/>
  <c r="E199" i="51"/>
  <c r="F199" i="51" s="1"/>
  <c r="M110" i="6"/>
  <c r="C115" i="6"/>
  <c r="C116" i="6"/>
  <c r="K77" i="15"/>
  <c r="E169" i="51"/>
  <c r="F169" i="51" s="1"/>
  <c r="G95" i="24"/>
  <c r="E95" i="24"/>
  <c r="J77" i="15"/>
  <c r="E168" i="51"/>
  <c r="F168" i="51" s="1"/>
  <c r="E115" i="6"/>
  <c r="E116" i="6"/>
  <c r="E162" i="51"/>
  <c r="L80" i="6"/>
  <c r="D77" i="15"/>
  <c r="L79" i="6"/>
  <c r="D8" i="17"/>
  <c r="AA17" i="37"/>
  <c r="AA18" i="37"/>
  <c r="L77" i="23"/>
  <c r="L68" i="23"/>
  <c r="L69" i="23"/>
  <c r="L70" i="23"/>
  <c r="L71" i="23"/>
  <c r="L72" i="23"/>
  <c r="L73" i="23"/>
  <c r="L74" i="23"/>
  <c r="L75" i="23"/>
  <c r="L76" i="23"/>
  <c r="L67" i="23"/>
  <c r="L66" i="23"/>
  <c r="D77" i="23"/>
  <c r="D68" i="23"/>
  <c r="D69" i="23"/>
  <c r="D70" i="23"/>
  <c r="D71" i="23"/>
  <c r="D72" i="23"/>
  <c r="D73" i="23"/>
  <c r="D74" i="23"/>
  <c r="D75" i="23"/>
  <c r="D76" i="23"/>
  <c r="D67" i="23"/>
  <c r="D66" i="23"/>
  <c r="G52" i="31"/>
  <c r="G51" i="31"/>
  <c r="G50" i="31"/>
  <c r="G49" i="31"/>
  <c r="F17" i="22"/>
  <c r="F8" i="22"/>
  <c r="F9" i="22"/>
  <c r="F10" i="22"/>
  <c r="F11" i="22"/>
  <c r="F12" i="22"/>
  <c r="F13" i="22"/>
  <c r="F14" i="22"/>
  <c r="F15" i="22"/>
  <c r="F16" i="22"/>
  <c r="F7" i="22"/>
  <c r="F6" i="22"/>
  <c r="E17" i="22"/>
  <c r="E8" i="22"/>
  <c r="E9" i="22"/>
  <c r="E10" i="22"/>
  <c r="E11" i="22"/>
  <c r="E12" i="22"/>
  <c r="E13" i="22"/>
  <c r="E14" i="22"/>
  <c r="E15" i="22"/>
  <c r="E16" i="22"/>
  <c r="E7" i="22"/>
  <c r="E6" i="22"/>
  <c r="D17" i="22"/>
  <c r="D8" i="22"/>
  <c r="D9" i="22"/>
  <c r="D10" i="22"/>
  <c r="D11" i="22"/>
  <c r="D12" i="22"/>
  <c r="D13" i="22"/>
  <c r="D14" i="22"/>
  <c r="D15" i="22"/>
  <c r="D16" i="22"/>
  <c r="D7" i="22"/>
  <c r="D6" i="22"/>
  <c r="V73" i="30"/>
  <c r="U73" i="30"/>
  <c r="T72" i="30"/>
  <c r="T73" i="30"/>
  <c r="S73" i="30"/>
  <c r="Q73" i="30"/>
  <c r="R73" i="30"/>
  <c r="M73" i="30"/>
  <c r="L73" i="30"/>
  <c r="G73" i="30"/>
  <c r="H73" i="30"/>
  <c r="W82" i="30"/>
  <c r="V82" i="30"/>
  <c r="U82" i="30"/>
  <c r="T82" i="30"/>
  <c r="S82" i="30"/>
  <c r="R82" i="30"/>
  <c r="Q82" i="30"/>
  <c r="M82" i="30"/>
  <c r="L82" i="30"/>
  <c r="H82" i="30"/>
  <c r="G82" i="30"/>
  <c r="W81" i="30"/>
  <c r="V81" i="30"/>
  <c r="U81" i="30"/>
  <c r="T81" i="30"/>
  <c r="S81" i="30"/>
  <c r="R81" i="30"/>
  <c r="Q81" i="30"/>
  <c r="M81" i="30"/>
  <c r="L81" i="30"/>
  <c r="H81" i="30"/>
  <c r="G81" i="30"/>
  <c r="W80" i="30"/>
  <c r="V80" i="30"/>
  <c r="U80" i="30"/>
  <c r="T80" i="30"/>
  <c r="S80" i="30"/>
  <c r="R80" i="30"/>
  <c r="Q80" i="30"/>
  <c r="M80" i="30"/>
  <c r="L80" i="30"/>
  <c r="H80" i="30"/>
  <c r="G80" i="30"/>
  <c r="W79" i="30"/>
  <c r="V79" i="30"/>
  <c r="U79" i="30"/>
  <c r="T79" i="30"/>
  <c r="S79" i="30"/>
  <c r="R79" i="30"/>
  <c r="Q79" i="30"/>
  <c r="M79" i="30"/>
  <c r="L79" i="30"/>
  <c r="H79" i="30"/>
  <c r="G79" i="30"/>
  <c r="W78" i="30"/>
  <c r="V78" i="30"/>
  <c r="U78" i="30"/>
  <c r="T78" i="30"/>
  <c r="S78" i="30"/>
  <c r="R78" i="30"/>
  <c r="Q78" i="30"/>
  <c r="M78" i="30"/>
  <c r="L78" i="30"/>
  <c r="H78" i="30"/>
  <c r="G78" i="30"/>
  <c r="W77" i="30"/>
  <c r="V77" i="30"/>
  <c r="U77" i="30"/>
  <c r="T77" i="30"/>
  <c r="S77" i="30"/>
  <c r="R77" i="30"/>
  <c r="Q77" i="30"/>
  <c r="M77" i="30"/>
  <c r="L77" i="30"/>
  <c r="H77" i="30"/>
  <c r="G77" i="30"/>
  <c r="W76" i="30"/>
  <c r="V76" i="30"/>
  <c r="U76" i="30"/>
  <c r="T76" i="30"/>
  <c r="S76" i="30"/>
  <c r="R76" i="30"/>
  <c r="Q76" i="30"/>
  <c r="M76" i="30"/>
  <c r="L76" i="30"/>
  <c r="H76" i="30"/>
  <c r="G76" i="30"/>
  <c r="W75" i="30"/>
  <c r="V75" i="30"/>
  <c r="U75" i="30"/>
  <c r="T75" i="30"/>
  <c r="S75" i="30"/>
  <c r="R75" i="30"/>
  <c r="Q75" i="30"/>
  <c r="M75" i="30"/>
  <c r="L75" i="30"/>
  <c r="H75" i="30"/>
  <c r="G75" i="30"/>
  <c r="W74" i="30"/>
  <c r="V74" i="30"/>
  <c r="U74" i="30"/>
  <c r="T74" i="30"/>
  <c r="S74" i="30"/>
  <c r="R74" i="30"/>
  <c r="Q74" i="30"/>
  <c r="M74" i="30"/>
  <c r="L74" i="30"/>
  <c r="H74" i="30"/>
  <c r="G74" i="30"/>
  <c r="W73" i="30"/>
  <c r="W72" i="30"/>
  <c r="V72" i="30"/>
  <c r="U72" i="30"/>
  <c r="S72" i="30"/>
  <c r="R72" i="30"/>
  <c r="Q72" i="30"/>
  <c r="W71" i="30"/>
  <c r="V71" i="30"/>
  <c r="U71" i="30"/>
  <c r="T71" i="30"/>
  <c r="S71" i="30"/>
  <c r="R71" i="30"/>
  <c r="Q71" i="30"/>
  <c r="Y69" i="30"/>
  <c r="W69" i="30"/>
  <c r="V69" i="30"/>
  <c r="U69" i="30"/>
  <c r="T69" i="30"/>
  <c r="S69" i="30"/>
  <c r="R69" i="30"/>
  <c r="Q69" i="30"/>
  <c r="M69" i="30"/>
  <c r="L69" i="30"/>
  <c r="H69" i="30"/>
  <c r="G69" i="30"/>
  <c r="V85" i="28"/>
  <c r="V86" i="28"/>
  <c r="U85" i="28"/>
  <c r="U86" i="28"/>
  <c r="T85" i="28"/>
  <c r="T86" i="28"/>
  <c r="S85" i="28"/>
  <c r="S86" i="28"/>
  <c r="R85" i="28"/>
  <c r="R86" i="28"/>
  <c r="Q85" i="28"/>
  <c r="Q86" i="28"/>
  <c r="M85" i="28"/>
  <c r="M86" i="28"/>
  <c r="L85" i="28"/>
  <c r="L86" i="28"/>
  <c r="H85" i="28"/>
  <c r="H86" i="28"/>
  <c r="G85" i="28"/>
  <c r="G86" i="28"/>
  <c r="W95" i="28"/>
  <c r="Y95" i="28" s="1"/>
  <c r="V95" i="28"/>
  <c r="U95" i="28"/>
  <c r="T95" i="28"/>
  <c r="S95" i="28"/>
  <c r="R95" i="28"/>
  <c r="Q95" i="28"/>
  <c r="M95" i="28"/>
  <c r="L95" i="28"/>
  <c r="H95" i="28"/>
  <c r="G95" i="28"/>
  <c r="W94" i="28"/>
  <c r="Y94" i="28" s="1"/>
  <c r="V94" i="28"/>
  <c r="U94" i="28"/>
  <c r="T94" i="28"/>
  <c r="S94" i="28"/>
  <c r="R94" i="28"/>
  <c r="Q94" i="28"/>
  <c r="M94" i="28"/>
  <c r="L94" i="28"/>
  <c r="H94" i="28"/>
  <c r="G94" i="28"/>
  <c r="W93" i="28"/>
  <c r="Y93" i="28" s="1"/>
  <c r="V93" i="28"/>
  <c r="U93" i="28"/>
  <c r="T93" i="28"/>
  <c r="S93" i="28"/>
  <c r="R93" i="28"/>
  <c r="Q93" i="28"/>
  <c r="M93" i="28"/>
  <c r="L93" i="28"/>
  <c r="H93" i="28"/>
  <c r="G93" i="28"/>
  <c r="W92" i="28"/>
  <c r="Y92" i="28" s="1"/>
  <c r="V92" i="28"/>
  <c r="U92" i="28"/>
  <c r="T92" i="28"/>
  <c r="S92" i="28"/>
  <c r="R92" i="28"/>
  <c r="Q92" i="28"/>
  <c r="M92" i="28"/>
  <c r="L92" i="28"/>
  <c r="H92" i="28"/>
  <c r="G92" i="28"/>
  <c r="W91" i="28"/>
  <c r="Y91" i="28" s="1"/>
  <c r="V91" i="28"/>
  <c r="U91" i="28"/>
  <c r="T91" i="28"/>
  <c r="S91" i="28"/>
  <c r="R91" i="28"/>
  <c r="Q91" i="28"/>
  <c r="M91" i="28"/>
  <c r="L91" i="28"/>
  <c r="H91" i="28"/>
  <c r="G91" i="28"/>
  <c r="W90" i="28"/>
  <c r="Y90" i="28" s="1"/>
  <c r="V90" i="28"/>
  <c r="U90" i="28"/>
  <c r="T90" i="28"/>
  <c r="S90" i="28"/>
  <c r="R90" i="28"/>
  <c r="Q90" i="28"/>
  <c r="M90" i="28"/>
  <c r="L90" i="28"/>
  <c r="H90" i="28"/>
  <c r="G90" i="28"/>
  <c r="W89" i="28"/>
  <c r="Y89" i="28" s="1"/>
  <c r="V89" i="28"/>
  <c r="U89" i="28"/>
  <c r="T89" i="28"/>
  <c r="S89" i="28"/>
  <c r="R89" i="28"/>
  <c r="Q89" i="28"/>
  <c r="M89" i="28"/>
  <c r="L89" i="28"/>
  <c r="H89" i="28"/>
  <c r="G89" i="28"/>
  <c r="W88" i="28"/>
  <c r="Y88" i="28" s="1"/>
  <c r="V88" i="28"/>
  <c r="U88" i="28"/>
  <c r="T88" i="28"/>
  <c r="S88" i="28"/>
  <c r="R88" i="28"/>
  <c r="Q88" i="28"/>
  <c r="M88" i="28"/>
  <c r="L88" i="28"/>
  <c r="H88" i="28"/>
  <c r="G88" i="28"/>
  <c r="W87" i="28"/>
  <c r="Y87" i="28" s="1"/>
  <c r="V87" i="28"/>
  <c r="U87" i="28"/>
  <c r="T87" i="28"/>
  <c r="S87" i="28"/>
  <c r="R87" i="28"/>
  <c r="Q87" i="28"/>
  <c r="M87" i="28"/>
  <c r="L87" i="28"/>
  <c r="H87" i="28"/>
  <c r="G87" i="28"/>
  <c r="W86" i="28"/>
  <c r="Y86" i="28" s="1"/>
  <c r="W85" i="28"/>
  <c r="Y85" i="28" s="1"/>
  <c r="W84" i="28"/>
  <c r="Y84" i="28" s="1"/>
  <c r="V84" i="28"/>
  <c r="U84" i="28"/>
  <c r="T84" i="28"/>
  <c r="S84" i="28"/>
  <c r="R84" i="28"/>
  <c r="Q84" i="28"/>
  <c r="M84" i="28"/>
  <c r="L84" i="28"/>
  <c r="H84" i="28"/>
  <c r="G84" i="28"/>
  <c r="W82" i="28"/>
  <c r="Y82" i="28" s="1"/>
  <c r="V82" i="28"/>
  <c r="U82" i="28"/>
  <c r="T82" i="28"/>
  <c r="S82" i="28"/>
  <c r="R82" i="28"/>
  <c r="Q82" i="28"/>
  <c r="M82" i="28"/>
  <c r="L82" i="28"/>
  <c r="H82" i="28"/>
  <c r="G82" i="28"/>
  <c r="T94" i="29"/>
  <c r="R94" i="29"/>
  <c r="S94" i="29" s="1"/>
  <c r="Q94" i="29"/>
  <c r="P94" i="29"/>
  <c r="O94" i="29"/>
  <c r="N94" i="29"/>
  <c r="M94" i="29"/>
  <c r="H94" i="29"/>
  <c r="G94" i="29"/>
  <c r="T93" i="29"/>
  <c r="P93" i="29"/>
  <c r="N93" i="29"/>
  <c r="M93" i="29"/>
  <c r="Q93" i="29"/>
  <c r="R93" i="29"/>
  <c r="S93" i="29" s="1"/>
  <c r="H93" i="29"/>
  <c r="G93" i="29"/>
  <c r="T92" i="29"/>
  <c r="R92" i="29"/>
  <c r="S92" i="29" s="1"/>
  <c r="Q92" i="29"/>
  <c r="P92" i="29"/>
  <c r="O92" i="29"/>
  <c r="N92" i="29"/>
  <c r="M92" i="29"/>
  <c r="H92" i="29"/>
  <c r="G92" i="29"/>
  <c r="T91" i="29"/>
  <c r="R91" i="29"/>
  <c r="S91" i="29" s="1"/>
  <c r="Q91" i="29"/>
  <c r="P91" i="29"/>
  <c r="O91" i="29"/>
  <c r="N91" i="29"/>
  <c r="M91" i="29"/>
  <c r="H91" i="29"/>
  <c r="G91" i="29"/>
  <c r="T90" i="29"/>
  <c r="R90" i="29"/>
  <c r="S90" i="29" s="1"/>
  <c r="Q90" i="29"/>
  <c r="P90" i="29"/>
  <c r="O90" i="29"/>
  <c r="N90" i="29"/>
  <c r="M90" i="29"/>
  <c r="H90" i="29"/>
  <c r="G90" i="29"/>
  <c r="T89" i="29"/>
  <c r="R89" i="29"/>
  <c r="S89" i="29" s="1"/>
  <c r="Q89" i="29"/>
  <c r="P89" i="29"/>
  <c r="O89" i="29"/>
  <c r="N89" i="29"/>
  <c r="M89" i="29"/>
  <c r="H89" i="29"/>
  <c r="G89" i="29"/>
  <c r="T88" i="29"/>
  <c r="R88" i="29"/>
  <c r="S88" i="29" s="1"/>
  <c r="Q88" i="29"/>
  <c r="P88" i="29"/>
  <c r="O88" i="29"/>
  <c r="N88" i="29"/>
  <c r="M88" i="29"/>
  <c r="H88" i="29"/>
  <c r="G88" i="29"/>
  <c r="T87" i="29"/>
  <c r="R87" i="29"/>
  <c r="S87" i="29" s="1"/>
  <c r="Q87" i="29"/>
  <c r="P87" i="29"/>
  <c r="O87" i="29"/>
  <c r="N87" i="29"/>
  <c r="M87" i="29"/>
  <c r="H87" i="29"/>
  <c r="G87" i="29"/>
  <c r="T86" i="29"/>
  <c r="R86" i="29"/>
  <c r="S86" i="29" s="1"/>
  <c r="Q86" i="29"/>
  <c r="P86" i="29"/>
  <c r="O86" i="29"/>
  <c r="N86" i="29"/>
  <c r="M86" i="29"/>
  <c r="H86" i="29"/>
  <c r="G86" i="29"/>
  <c r="T85" i="29"/>
  <c r="R85" i="29"/>
  <c r="S85" i="29" s="1"/>
  <c r="Q85" i="29"/>
  <c r="P85" i="29"/>
  <c r="O85" i="29"/>
  <c r="N85" i="29"/>
  <c r="M85" i="29"/>
  <c r="H85" i="29"/>
  <c r="G85" i="29"/>
  <c r="T84" i="29"/>
  <c r="R84" i="29"/>
  <c r="S84" i="29" s="1"/>
  <c r="Q84" i="29"/>
  <c r="P84" i="29"/>
  <c r="O84" i="29"/>
  <c r="N84" i="29"/>
  <c r="M84" i="29"/>
  <c r="H84" i="29"/>
  <c r="G84" i="29"/>
  <c r="T83" i="29"/>
  <c r="R83" i="29"/>
  <c r="S83" i="29" s="1"/>
  <c r="Q83" i="29"/>
  <c r="P83" i="29"/>
  <c r="O83" i="29"/>
  <c r="N83" i="29"/>
  <c r="M83" i="29"/>
  <c r="H83" i="29"/>
  <c r="G83" i="29"/>
  <c r="V81" i="29"/>
  <c r="Q81" i="29"/>
  <c r="P81" i="29"/>
  <c r="N81" i="29"/>
  <c r="O81" i="29"/>
  <c r="H81" i="29"/>
  <c r="G81" i="29"/>
  <c r="Y68" i="30"/>
  <c r="W68" i="30"/>
  <c r="V68" i="30"/>
  <c r="U68" i="30"/>
  <c r="T68" i="30"/>
  <c r="S68" i="30"/>
  <c r="R68" i="30"/>
  <c r="Q68" i="30"/>
  <c r="M68" i="30"/>
  <c r="L68" i="30"/>
  <c r="H68" i="30"/>
  <c r="G68" i="30"/>
  <c r="Y67" i="30"/>
  <c r="W67" i="30"/>
  <c r="V67" i="30"/>
  <c r="U67" i="30"/>
  <c r="T67" i="30"/>
  <c r="S67" i="30"/>
  <c r="R67" i="30"/>
  <c r="Q67" i="30"/>
  <c r="M67" i="30"/>
  <c r="L67" i="30"/>
  <c r="H67" i="30"/>
  <c r="G67" i="30"/>
  <c r="Y66" i="30"/>
  <c r="W66" i="30"/>
  <c r="V66" i="30"/>
  <c r="U66" i="30"/>
  <c r="T66" i="30"/>
  <c r="S66" i="30"/>
  <c r="R66" i="30"/>
  <c r="Q66" i="30"/>
  <c r="M66" i="30"/>
  <c r="L66" i="30"/>
  <c r="H66" i="30"/>
  <c r="G66" i="30"/>
  <c r="Y65" i="30"/>
  <c r="W65" i="30"/>
  <c r="V65" i="30"/>
  <c r="U65" i="30"/>
  <c r="T65" i="30"/>
  <c r="S65" i="30"/>
  <c r="R65" i="30"/>
  <c r="Q65" i="30"/>
  <c r="M65" i="30"/>
  <c r="L65" i="30"/>
  <c r="H65" i="30"/>
  <c r="G65" i="30"/>
  <c r="Y64" i="30"/>
  <c r="W64" i="30"/>
  <c r="V64" i="30"/>
  <c r="U64" i="30"/>
  <c r="T64" i="30"/>
  <c r="S64" i="30"/>
  <c r="R64" i="30"/>
  <c r="Q64" i="30"/>
  <c r="M64" i="30"/>
  <c r="L64" i="30"/>
  <c r="H64" i="30"/>
  <c r="G64" i="30"/>
  <c r="Y63" i="30"/>
  <c r="W63" i="30"/>
  <c r="V63" i="30"/>
  <c r="U63" i="30"/>
  <c r="T63" i="30"/>
  <c r="S63" i="30"/>
  <c r="R63" i="30"/>
  <c r="Q63" i="30"/>
  <c r="M63" i="30"/>
  <c r="L63" i="30"/>
  <c r="H63" i="30"/>
  <c r="G63" i="30"/>
  <c r="Y62" i="30"/>
  <c r="W62" i="30"/>
  <c r="V62" i="30"/>
  <c r="U62" i="30"/>
  <c r="T62" i="30"/>
  <c r="S62" i="30"/>
  <c r="R62" i="30"/>
  <c r="Q62" i="30"/>
  <c r="M62" i="30"/>
  <c r="L62" i="30"/>
  <c r="H62" i="30"/>
  <c r="G62" i="30"/>
  <c r="W61" i="30"/>
  <c r="V61" i="30"/>
  <c r="U61" i="30"/>
  <c r="T61" i="30"/>
  <c r="S61" i="30"/>
  <c r="R61" i="30"/>
  <c r="Q61" i="30"/>
  <c r="M61" i="30"/>
  <c r="L61" i="30"/>
  <c r="H61" i="30"/>
  <c r="G61" i="30"/>
  <c r="W60" i="30"/>
  <c r="W59" i="30"/>
  <c r="V59" i="30"/>
  <c r="U59" i="30"/>
  <c r="T59" i="30"/>
  <c r="S59" i="30"/>
  <c r="R59" i="30"/>
  <c r="Q59" i="30"/>
  <c r="M59" i="30"/>
  <c r="L59" i="30"/>
  <c r="H59" i="30"/>
  <c r="G59" i="30"/>
  <c r="W58" i="30"/>
  <c r="V58" i="30"/>
  <c r="U58" i="30"/>
  <c r="T58" i="30"/>
  <c r="S58" i="30"/>
  <c r="R58" i="30"/>
  <c r="Q58" i="30"/>
  <c r="M58" i="30"/>
  <c r="L58" i="30"/>
  <c r="H58" i="30"/>
  <c r="G58" i="30"/>
  <c r="W56" i="30"/>
  <c r="X56" i="30" s="1"/>
  <c r="Z56" i="30" s="1"/>
  <c r="V56" i="30"/>
  <c r="U56" i="30"/>
  <c r="T56" i="30"/>
  <c r="S56" i="30"/>
  <c r="R56" i="30"/>
  <c r="Q56" i="30"/>
  <c r="M56" i="30"/>
  <c r="L56" i="30"/>
  <c r="H56" i="30"/>
  <c r="G56" i="30"/>
  <c r="W55" i="30"/>
  <c r="X55" i="30" s="1"/>
  <c r="Z55" i="30" s="1"/>
  <c r="V55" i="30"/>
  <c r="U55" i="30"/>
  <c r="T55" i="30"/>
  <c r="S55" i="30"/>
  <c r="R55" i="30"/>
  <c r="Q55" i="30"/>
  <c r="M55" i="30"/>
  <c r="L55" i="30"/>
  <c r="H55" i="30"/>
  <c r="G55" i="30"/>
  <c r="W54" i="30"/>
  <c r="X54" i="30" s="1"/>
  <c r="Z54" i="30" s="1"/>
  <c r="V54" i="30"/>
  <c r="U54" i="30"/>
  <c r="T54" i="30"/>
  <c r="S54" i="30"/>
  <c r="R54" i="30"/>
  <c r="Q54" i="30"/>
  <c r="M54" i="30"/>
  <c r="L54" i="30"/>
  <c r="H54" i="30"/>
  <c r="G54" i="30"/>
  <c r="W53" i="30"/>
  <c r="X53" i="30" s="1"/>
  <c r="Z53" i="30" s="1"/>
  <c r="V53" i="30"/>
  <c r="U53" i="30"/>
  <c r="T53" i="30"/>
  <c r="S53" i="30"/>
  <c r="R53" i="30"/>
  <c r="Q53" i="30"/>
  <c r="M53" i="30"/>
  <c r="L53" i="30"/>
  <c r="H53" i="30"/>
  <c r="G53" i="30"/>
  <c r="W52" i="30"/>
  <c r="X52" i="30" s="1"/>
  <c r="Z52" i="30" s="1"/>
  <c r="V52" i="30"/>
  <c r="U52" i="30"/>
  <c r="T52" i="30"/>
  <c r="S52" i="30"/>
  <c r="R52" i="30"/>
  <c r="Q52" i="30"/>
  <c r="M52" i="30"/>
  <c r="L52" i="30"/>
  <c r="H52" i="30"/>
  <c r="G52" i="30"/>
  <c r="W51" i="30"/>
  <c r="X51" i="30" s="1"/>
  <c r="Z51" i="30" s="1"/>
  <c r="V51" i="30"/>
  <c r="U51" i="30"/>
  <c r="T51" i="30"/>
  <c r="S51" i="30"/>
  <c r="R51" i="30"/>
  <c r="Q51" i="30"/>
  <c r="M51" i="30"/>
  <c r="L51" i="30"/>
  <c r="H51" i="30"/>
  <c r="G51" i="30"/>
  <c r="W50" i="30"/>
  <c r="X50" i="30" s="1"/>
  <c r="Z50" i="30" s="1"/>
  <c r="V50" i="30"/>
  <c r="U50" i="30"/>
  <c r="T50" i="30"/>
  <c r="S50" i="30"/>
  <c r="R50" i="30"/>
  <c r="Q50" i="30"/>
  <c r="M50" i="30"/>
  <c r="L50" i="30"/>
  <c r="H50" i="30"/>
  <c r="G50" i="30"/>
  <c r="W49" i="30"/>
  <c r="X49" i="30" s="1"/>
  <c r="Z49" i="30" s="1"/>
  <c r="V49" i="30"/>
  <c r="U49" i="30"/>
  <c r="T49" i="30"/>
  <c r="S49" i="30"/>
  <c r="R49" i="30"/>
  <c r="Q49" i="30"/>
  <c r="M49" i="30"/>
  <c r="L49" i="30"/>
  <c r="H49" i="30"/>
  <c r="G49" i="30"/>
  <c r="W48" i="30"/>
  <c r="X48" i="30" s="1"/>
  <c r="Z48" i="30" s="1"/>
  <c r="V48" i="30"/>
  <c r="U48" i="30"/>
  <c r="T48" i="30"/>
  <c r="S48" i="30"/>
  <c r="R48" i="30"/>
  <c r="Q48" i="30"/>
  <c r="M48" i="30"/>
  <c r="L48" i="30"/>
  <c r="H48" i="30"/>
  <c r="G48" i="30"/>
  <c r="W47" i="30"/>
  <c r="X47" i="30" s="1"/>
  <c r="Z47" i="30" s="1"/>
  <c r="V47" i="30"/>
  <c r="U47" i="30"/>
  <c r="T47" i="30"/>
  <c r="S47" i="30"/>
  <c r="R47" i="30"/>
  <c r="Q47" i="30"/>
  <c r="M47" i="30"/>
  <c r="L47" i="30"/>
  <c r="H47" i="30"/>
  <c r="G47" i="30"/>
  <c r="W46" i="30"/>
  <c r="X46" i="30" s="1"/>
  <c r="Z46" i="30" s="1"/>
  <c r="V46" i="30"/>
  <c r="U46" i="30"/>
  <c r="T46" i="30"/>
  <c r="S46" i="30"/>
  <c r="R46" i="30"/>
  <c r="Q46" i="30"/>
  <c r="M46" i="30"/>
  <c r="L46" i="30"/>
  <c r="H46" i="30"/>
  <c r="G46" i="30"/>
  <c r="W45" i="30"/>
  <c r="X45" i="30" s="1"/>
  <c r="Z45" i="30" s="1"/>
  <c r="V45" i="30"/>
  <c r="U45" i="30"/>
  <c r="T45" i="30"/>
  <c r="S45" i="30"/>
  <c r="R45" i="30"/>
  <c r="Q45" i="30"/>
  <c r="M45" i="30"/>
  <c r="L45" i="30"/>
  <c r="H45" i="30"/>
  <c r="G45" i="30"/>
  <c r="W43" i="30"/>
  <c r="X43" i="30" s="1"/>
  <c r="V43" i="30"/>
  <c r="U43" i="30"/>
  <c r="R43" i="30"/>
  <c r="Q43" i="30"/>
  <c r="M43" i="30"/>
  <c r="L43" i="30"/>
  <c r="H43" i="30"/>
  <c r="G43" i="30"/>
  <c r="W42" i="30"/>
  <c r="X42" i="30" s="1"/>
  <c r="V42" i="30"/>
  <c r="U42" i="30"/>
  <c r="R42" i="30"/>
  <c r="Q42" i="30"/>
  <c r="M42" i="30"/>
  <c r="L42" i="30"/>
  <c r="H42" i="30"/>
  <c r="G42" i="30"/>
  <c r="W41" i="30"/>
  <c r="X41" i="30" s="1"/>
  <c r="V41" i="30"/>
  <c r="U41" i="30"/>
  <c r="R41" i="30"/>
  <c r="Q41" i="30"/>
  <c r="M41" i="30"/>
  <c r="L41" i="30"/>
  <c r="H41" i="30"/>
  <c r="G41" i="30"/>
  <c r="W40" i="30"/>
  <c r="X40" i="30" s="1"/>
  <c r="V40" i="30"/>
  <c r="U40" i="30"/>
  <c r="R40" i="30"/>
  <c r="Q40" i="30"/>
  <c r="M40" i="30"/>
  <c r="L40" i="30"/>
  <c r="H40" i="30"/>
  <c r="G40" i="30"/>
  <c r="W39" i="30"/>
  <c r="X39" i="30" s="1"/>
  <c r="V39" i="30"/>
  <c r="U39" i="30"/>
  <c r="R39" i="30"/>
  <c r="Q39" i="30"/>
  <c r="M39" i="30"/>
  <c r="L39" i="30"/>
  <c r="H39" i="30"/>
  <c r="G39" i="30"/>
  <c r="W38" i="30"/>
  <c r="X38" i="30" s="1"/>
  <c r="V38" i="30"/>
  <c r="U38" i="30"/>
  <c r="R38" i="30"/>
  <c r="Q38" i="30"/>
  <c r="M38" i="30"/>
  <c r="L38" i="30"/>
  <c r="H38" i="30"/>
  <c r="G38" i="30"/>
  <c r="W37" i="30"/>
  <c r="X37" i="30" s="1"/>
  <c r="V37" i="30"/>
  <c r="U37" i="30"/>
  <c r="R37" i="30"/>
  <c r="Q37" i="30"/>
  <c r="M37" i="30"/>
  <c r="L37" i="30"/>
  <c r="H37" i="30"/>
  <c r="G37" i="30"/>
  <c r="W36" i="30"/>
  <c r="X36" i="30" s="1"/>
  <c r="V36" i="30"/>
  <c r="U36" i="30"/>
  <c r="R36" i="30"/>
  <c r="Q36" i="30"/>
  <c r="M36" i="30"/>
  <c r="L36" i="30"/>
  <c r="H36" i="30"/>
  <c r="G36" i="30"/>
  <c r="W35" i="30"/>
  <c r="X35" i="30" s="1"/>
  <c r="V35" i="30"/>
  <c r="U35" i="30"/>
  <c r="R35" i="30"/>
  <c r="Q35" i="30"/>
  <c r="M35" i="30"/>
  <c r="L35" i="30"/>
  <c r="H35" i="30"/>
  <c r="G35" i="30"/>
  <c r="W34" i="30"/>
  <c r="X34" i="30" s="1"/>
  <c r="V34" i="30"/>
  <c r="U34" i="30"/>
  <c r="R34" i="30"/>
  <c r="Q34" i="30"/>
  <c r="M34" i="30"/>
  <c r="L34" i="30"/>
  <c r="H34" i="30"/>
  <c r="G34" i="30"/>
  <c r="W33" i="30"/>
  <c r="X33" i="30" s="1"/>
  <c r="V33" i="30"/>
  <c r="Q33" i="30"/>
  <c r="P33" i="30"/>
  <c r="R33" i="30" s="1"/>
  <c r="L33" i="30"/>
  <c r="K33" i="30"/>
  <c r="G33" i="30"/>
  <c r="F33" i="30"/>
  <c r="H33" i="30" s="1"/>
  <c r="N32" i="30"/>
  <c r="P32" i="30" s="1"/>
  <c r="R32" i="30" s="1"/>
  <c r="I32" i="30"/>
  <c r="L32" i="30" s="1"/>
  <c r="D32" i="30"/>
  <c r="G32" i="30" s="1"/>
  <c r="N30" i="30"/>
  <c r="Q30" i="30" s="1"/>
  <c r="I30" i="30"/>
  <c r="K30" i="30" s="1"/>
  <c r="M30" i="30" s="1"/>
  <c r="D30" i="30"/>
  <c r="G30" i="30" s="1"/>
  <c r="N29" i="30"/>
  <c r="I29" i="30"/>
  <c r="L29" i="30" s="1"/>
  <c r="D29" i="30"/>
  <c r="N28" i="30"/>
  <c r="I28" i="30"/>
  <c r="L28" i="30" s="1"/>
  <c r="D28" i="30"/>
  <c r="G28" i="30" s="1"/>
  <c r="N27" i="30"/>
  <c r="I27" i="30"/>
  <c r="L27" i="30" s="1"/>
  <c r="D27" i="30"/>
  <c r="N26" i="30"/>
  <c r="Q26" i="30" s="1"/>
  <c r="I26" i="30"/>
  <c r="K26" i="30" s="1"/>
  <c r="M26" i="30" s="1"/>
  <c r="D26" i="30"/>
  <c r="N25" i="30"/>
  <c r="P25" i="30" s="1"/>
  <c r="R25" i="30" s="1"/>
  <c r="I25" i="30"/>
  <c r="K25" i="30" s="1"/>
  <c r="M25" i="30" s="1"/>
  <c r="G25" i="30"/>
  <c r="F25" i="30"/>
  <c r="N24" i="30"/>
  <c r="Q24" i="30" s="1"/>
  <c r="I24" i="30"/>
  <c r="G24" i="30"/>
  <c r="F24" i="30"/>
  <c r="H24" i="30" s="1"/>
  <c r="N23" i="30"/>
  <c r="Q23" i="30" s="1"/>
  <c r="I23" i="30"/>
  <c r="L23" i="30" s="1"/>
  <c r="G23" i="30"/>
  <c r="F23" i="30"/>
  <c r="H23" i="30" s="1"/>
  <c r="N22" i="30"/>
  <c r="P22" i="30" s="1"/>
  <c r="R22" i="30" s="1"/>
  <c r="I22" i="30"/>
  <c r="G22" i="30"/>
  <c r="F22" i="30"/>
  <c r="H22" i="30" s="1"/>
  <c r="N21" i="30"/>
  <c r="I21" i="30"/>
  <c r="K21" i="30" s="1"/>
  <c r="M21" i="30" s="1"/>
  <c r="G21" i="30"/>
  <c r="F21" i="30"/>
  <c r="N20" i="30"/>
  <c r="I20" i="30"/>
  <c r="L20" i="30" s="1"/>
  <c r="D20" i="30"/>
  <c r="N19" i="30"/>
  <c r="I19" i="30"/>
  <c r="L19" i="30" s="1"/>
  <c r="D19" i="30"/>
  <c r="U17" i="30"/>
  <c r="R17" i="30"/>
  <c r="N17" i="30"/>
  <c r="M17" i="30"/>
  <c r="I17" i="30"/>
  <c r="L17" i="30" s="1"/>
  <c r="H17" i="30"/>
  <c r="D17" i="30"/>
  <c r="G17" i="30" s="1"/>
  <c r="U16" i="30"/>
  <c r="R16" i="30"/>
  <c r="N16" i="30"/>
  <c r="Q16" i="30" s="1"/>
  <c r="M16" i="30"/>
  <c r="I16" i="30"/>
  <c r="L16" i="30" s="1"/>
  <c r="H16" i="30"/>
  <c r="D16" i="30"/>
  <c r="G16" i="30" s="1"/>
  <c r="U15" i="30"/>
  <c r="R15" i="30"/>
  <c r="N15" i="30"/>
  <c r="Q15" i="30" s="1"/>
  <c r="M15" i="30"/>
  <c r="I15" i="30"/>
  <c r="L15" i="30" s="1"/>
  <c r="H15" i="30"/>
  <c r="D15" i="30"/>
  <c r="U14" i="30"/>
  <c r="R14" i="30"/>
  <c r="N14" i="30"/>
  <c r="M14" i="30"/>
  <c r="I14" i="30"/>
  <c r="L14" i="30" s="1"/>
  <c r="H14" i="30"/>
  <c r="D14" i="30"/>
  <c r="U13" i="30"/>
  <c r="R13" i="30"/>
  <c r="N13" i="30"/>
  <c r="Q13" i="30" s="1"/>
  <c r="M13" i="30"/>
  <c r="I13" i="30"/>
  <c r="L13" i="30" s="1"/>
  <c r="H13" i="30"/>
  <c r="D13" i="30"/>
  <c r="G13" i="30" s="1"/>
  <c r="U12" i="30"/>
  <c r="R12" i="30"/>
  <c r="N12" i="30"/>
  <c r="M12" i="30"/>
  <c r="I12" i="30"/>
  <c r="L12" i="30" s="1"/>
  <c r="H12" i="30"/>
  <c r="D12" i="30"/>
  <c r="G12" i="30" s="1"/>
  <c r="U11" i="30"/>
  <c r="R11" i="30"/>
  <c r="N11" i="30"/>
  <c r="Q11" i="30" s="1"/>
  <c r="M11" i="30"/>
  <c r="I11" i="30"/>
  <c r="L11" i="30" s="1"/>
  <c r="H11" i="30"/>
  <c r="D11" i="30"/>
  <c r="U10" i="30"/>
  <c r="R10" i="30"/>
  <c r="N10" i="30"/>
  <c r="Q10" i="30" s="1"/>
  <c r="M10" i="30"/>
  <c r="I10" i="30"/>
  <c r="L10" i="30" s="1"/>
  <c r="H10" i="30"/>
  <c r="D10" i="30"/>
  <c r="U9" i="30"/>
  <c r="R9" i="30"/>
  <c r="N9" i="30"/>
  <c r="M9" i="30"/>
  <c r="I9" i="30"/>
  <c r="L9" i="30" s="1"/>
  <c r="H9" i="30"/>
  <c r="D9" i="30"/>
  <c r="G9" i="30" s="1"/>
  <c r="U8" i="30"/>
  <c r="R8" i="30"/>
  <c r="N8" i="30"/>
  <c r="Q8" i="30" s="1"/>
  <c r="M8" i="30"/>
  <c r="I8" i="30"/>
  <c r="L8" i="30" s="1"/>
  <c r="H8" i="30"/>
  <c r="D8" i="30"/>
  <c r="G8" i="30" s="1"/>
  <c r="U7" i="30"/>
  <c r="R7" i="30"/>
  <c r="N7" i="30"/>
  <c r="Q7" i="30" s="1"/>
  <c r="M7" i="30"/>
  <c r="I7" i="30"/>
  <c r="L7" i="30" s="1"/>
  <c r="H7" i="30"/>
  <c r="D7" i="30"/>
  <c r="U6" i="30"/>
  <c r="R6" i="30"/>
  <c r="N6" i="30"/>
  <c r="M6" i="30"/>
  <c r="I6" i="30"/>
  <c r="L6" i="30" s="1"/>
  <c r="H6" i="30"/>
  <c r="D6" i="30"/>
  <c r="V80" i="29"/>
  <c r="P80" i="29"/>
  <c r="Q80" i="29"/>
  <c r="T80" i="29"/>
  <c r="U80" i="29" s="1"/>
  <c r="F18" i="5" s="1"/>
  <c r="H80" i="29"/>
  <c r="G80" i="29"/>
  <c r="V79" i="29"/>
  <c r="T79" i="29"/>
  <c r="U79" i="29" s="1"/>
  <c r="F17" i="5" s="1"/>
  <c r="R79" i="29"/>
  <c r="S79" i="29" s="1"/>
  <c r="Q79" i="29"/>
  <c r="P79" i="29"/>
  <c r="O79" i="29"/>
  <c r="N79" i="29"/>
  <c r="M79" i="29"/>
  <c r="H79" i="29"/>
  <c r="G79" i="29"/>
  <c r="V78" i="29"/>
  <c r="T78" i="29"/>
  <c r="D15" i="21" s="1"/>
  <c r="R78" i="29"/>
  <c r="S78" i="29" s="1"/>
  <c r="Q78" i="29"/>
  <c r="P78" i="29"/>
  <c r="O78" i="29"/>
  <c r="N78" i="29"/>
  <c r="M78" i="29"/>
  <c r="H78" i="29"/>
  <c r="G78" i="29"/>
  <c r="V77" i="29"/>
  <c r="T77" i="29"/>
  <c r="U77" i="29" s="1"/>
  <c r="F15" i="5" s="1"/>
  <c r="R77" i="29"/>
  <c r="S77" i="29" s="1"/>
  <c r="Q77" i="29"/>
  <c r="P77" i="29"/>
  <c r="O77" i="29"/>
  <c r="N77" i="29"/>
  <c r="M77" i="29"/>
  <c r="H77" i="29"/>
  <c r="G77" i="29"/>
  <c r="V76" i="29"/>
  <c r="T76" i="29"/>
  <c r="U76" i="29" s="1"/>
  <c r="F14" i="5" s="1"/>
  <c r="R76" i="29"/>
  <c r="S76" i="29" s="1"/>
  <c r="Q76" i="29"/>
  <c r="P76" i="29"/>
  <c r="O76" i="29"/>
  <c r="N76" i="29"/>
  <c r="M76" i="29"/>
  <c r="H76" i="29"/>
  <c r="G76" i="29"/>
  <c r="V75" i="29"/>
  <c r="T75" i="29"/>
  <c r="U75" i="29" s="1"/>
  <c r="F13" i="5" s="1"/>
  <c r="R75" i="29"/>
  <c r="S75" i="29" s="1"/>
  <c r="Q75" i="29"/>
  <c r="P75" i="29"/>
  <c r="O75" i="29"/>
  <c r="N75" i="29"/>
  <c r="M75" i="29"/>
  <c r="H75" i="29"/>
  <c r="G75" i="29"/>
  <c r="V74" i="29"/>
  <c r="T74" i="29"/>
  <c r="U74" i="29" s="1"/>
  <c r="F12" i="5" s="1"/>
  <c r="R74" i="29"/>
  <c r="S74" i="29" s="1"/>
  <c r="Q74" i="29"/>
  <c r="P74" i="29"/>
  <c r="O74" i="29"/>
  <c r="N74" i="29"/>
  <c r="M74" i="29"/>
  <c r="H74" i="29"/>
  <c r="G74" i="29"/>
  <c r="T73" i="29"/>
  <c r="D10" i="21" s="1"/>
  <c r="R73" i="29"/>
  <c r="S73" i="29" s="1"/>
  <c r="Q73" i="29"/>
  <c r="P73" i="29"/>
  <c r="O73" i="29"/>
  <c r="N73" i="29"/>
  <c r="M73" i="29"/>
  <c r="H73" i="29"/>
  <c r="G73" i="29"/>
  <c r="T72" i="29"/>
  <c r="U72" i="29" s="1"/>
  <c r="R72" i="29"/>
  <c r="S72" i="29" s="1"/>
  <c r="Q72" i="29"/>
  <c r="P72" i="29"/>
  <c r="O72" i="29"/>
  <c r="N72" i="29"/>
  <c r="M72" i="29"/>
  <c r="H72" i="29"/>
  <c r="G72" i="29"/>
  <c r="T71" i="29"/>
  <c r="D8" i="21" s="1"/>
  <c r="R71" i="29"/>
  <c r="S71" i="29" s="1"/>
  <c r="Q71" i="29"/>
  <c r="P71" i="29"/>
  <c r="O71" i="29"/>
  <c r="N71" i="29"/>
  <c r="M71" i="29"/>
  <c r="H71" i="29"/>
  <c r="G71" i="29"/>
  <c r="T70" i="29"/>
  <c r="U70" i="29" s="1"/>
  <c r="R70" i="29"/>
  <c r="S70" i="29" s="1"/>
  <c r="Q70" i="29"/>
  <c r="P70" i="29"/>
  <c r="O70" i="29"/>
  <c r="N70" i="29"/>
  <c r="M70" i="29"/>
  <c r="H70" i="29"/>
  <c r="G70" i="29"/>
  <c r="T68" i="29"/>
  <c r="U68" i="29" s="1"/>
  <c r="W68" i="29" s="1"/>
  <c r="R68" i="29"/>
  <c r="S68" i="29" s="1"/>
  <c r="Q68" i="29"/>
  <c r="P68" i="29"/>
  <c r="O68" i="29"/>
  <c r="N68" i="29"/>
  <c r="M68" i="29"/>
  <c r="H68" i="29"/>
  <c r="G68" i="29"/>
  <c r="T67" i="29"/>
  <c r="U67" i="29" s="1"/>
  <c r="W67" i="29" s="1"/>
  <c r="R67" i="29"/>
  <c r="S67" i="29" s="1"/>
  <c r="Q67" i="29"/>
  <c r="P67" i="29"/>
  <c r="O67" i="29"/>
  <c r="N67" i="29"/>
  <c r="M67" i="29"/>
  <c r="H67" i="29"/>
  <c r="G67" i="29"/>
  <c r="T66" i="29"/>
  <c r="U66" i="29" s="1"/>
  <c r="W66" i="29" s="1"/>
  <c r="R66" i="29"/>
  <c r="S66" i="29" s="1"/>
  <c r="Q66" i="29"/>
  <c r="P66" i="29"/>
  <c r="O66" i="29"/>
  <c r="N66" i="29"/>
  <c r="M66" i="29"/>
  <c r="H66" i="29"/>
  <c r="G66" i="29"/>
  <c r="T65" i="29"/>
  <c r="U65" i="29" s="1"/>
  <c r="W65" i="29" s="1"/>
  <c r="R65" i="29"/>
  <c r="S65" i="29" s="1"/>
  <c r="Q65" i="29"/>
  <c r="P65" i="29"/>
  <c r="O65" i="29"/>
  <c r="N65" i="29"/>
  <c r="M65" i="29"/>
  <c r="H65" i="29"/>
  <c r="G65" i="29"/>
  <c r="T64" i="29"/>
  <c r="U64" i="29" s="1"/>
  <c r="W64" i="29" s="1"/>
  <c r="R64" i="29"/>
  <c r="S64" i="29" s="1"/>
  <c r="Q64" i="29"/>
  <c r="P64" i="29"/>
  <c r="O64" i="29"/>
  <c r="N64" i="29"/>
  <c r="M64" i="29"/>
  <c r="H64" i="29"/>
  <c r="G64" i="29"/>
  <c r="T63" i="29"/>
  <c r="U63" i="29" s="1"/>
  <c r="W63" i="29" s="1"/>
  <c r="R63" i="29"/>
  <c r="S63" i="29" s="1"/>
  <c r="Q63" i="29"/>
  <c r="P63" i="29"/>
  <c r="O63" i="29"/>
  <c r="N63" i="29"/>
  <c r="M63" i="29"/>
  <c r="H63" i="29"/>
  <c r="G63" i="29"/>
  <c r="T62" i="29"/>
  <c r="U62" i="29" s="1"/>
  <c r="W62" i="29" s="1"/>
  <c r="R62" i="29"/>
  <c r="S62" i="29" s="1"/>
  <c r="Q62" i="29"/>
  <c r="P62" i="29"/>
  <c r="O62" i="29"/>
  <c r="N62" i="29"/>
  <c r="M62" i="29"/>
  <c r="H62" i="29"/>
  <c r="G62" i="29"/>
  <c r="T61" i="29"/>
  <c r="U61" i="29" s="1"/>
  <c r="W61" i="29" s="1"/>
  <c r="R61" i="29"/>
  <c r="S61" i="29" s="1"/>
  <c r="Q61" i="29"/>
  <c r="P61" i="29"/>
  <c r="O61" i="29"/>
  <c r="N61" i="29"/>
  <c r="M61" i="29"/>
  <c r="H61" i="29"/>
  <c r="G61" i="29"/>
  <c r="T60" i="29"/>
  <c r="U60" i="29" s="1"/>
  <c r="W60" i="29" s="1"/>
  <c r="R60" i="29"/>
  <c r="S60" i="29" s="1"/>
  <c r="Q60" i="29"/>
  <c r="P60" i="29"/>
  <c r="O60" i="29"/>
  <c r="N60" i="29"/>
  <c r="M60" i="29"/>
  <c r="H60" i="29"/>
  <c r="G60" i="29"/>
  <c r="T59" i="29"/>
  <c r="U59" i="29" s="1"/>
  <c r="W59" i="29" s="1"/>
  <c r="R59" i="29"/>
  <c r="S59" i="29" s="1"/>
  <c r="Q59" i="29"/>
  <c r="P59" i="29"/>
  <c r="O59" i="29"/>
  <c r="N59" i="29"/>
  <c r="M59" i="29"/>
  <c r="H59" i="29"/>
  <c r="G59" i="29"/>
  <c r="T58" i="29"/>
  <c r="U58" i="29" s="1"/>
  <c r="W58" i="29" s="1"/>
  <c r="R58" i="29"/>
  <c r="S58" i="29" s="1"/>
  <c r="Q58" i="29"/>
  <c r="P58" i="29"/>
  <c r="O58" i="29"/>
  <c r="N58" i="29"/>
  <c r="M58" i="29"/>
  <c r="H58" i="29"/>
  <c r="G58" i="29"/>
  <c r="T57" i="29"/>
  <c r="U57" i="29" s="1"/>
  <c r="W57" i="29" s="1"/>
  <c r="R57" i="29"/>
  <c r="S57" i="29" s="1"/>
  <c r="Q57" i="29"/>
  <c r="P57" i="29"/>
  <c r="O57" i="29"/>
  <c r="N57" i="29"/>
  <c r="M57" i="29"/>
  <c r="H57" i="29"/>
  <c r="G57" i="29"/>
  <c r="T55" i="29"/>
  <c r="U55" i="29" s="1"/>
  <c r="R55" i="29"/>
  <c r="S55" i="29" s="1"/>
  <c r="Q55" i="29"/>
  <c r="P55" i="29"/>
  <c r="O55" i="29"/>
  <c r="N55" i="29"/>
  <c r="M55" i="29"/>
  <c r="H55" i="29"/>
  <c r="G55" i="29"/>
  <c r="T54" i="29"/>
  <c r="U54" i="29" s="1"/>
  <c r="R54" i="29"/>
  <c r="S54" i="29" s="1"/>
  <c r="Q54" i="29"/>
  <c r="P54" i="29"/>
  <c r="O54" i="29"/>
  <c r="N54" i="29"/>
  <c r="M54" i="29"/>
  <c r="H54" i="29"/>
  <c r="G54" i="29"/>
  <c r="T53" i="29"/>
  <c r="U53" i="29" s="1"/>
  <c r="R53" i="29"/>
  <c r="S53" i="29" s="1"/>
  <c r="Q53" i="29"/>
  <c r="P53" i="29"/>
  <c r="O53" i="29"/>
  <c r="N53" i="29"/>
  <c r="M53" i="29"/>
  <c r="H53" i="29"/>
  <c r="G53" i="29"/>
  <c r="T52" i="29"/>
  <c r="U52" i="29" s="1"/>
  <c r="R52" i="29"/>
  <c r="S52" i="29" s="1"/>
  <c r="Q52" i="29"/>
  <c r="P52" i="29"/>
  <c r="O52" i="29"/>
  <c r="N52" i="29"/>
  <c r="M52" i="29"/>
  <c r="H52" i="29"/>
  <c r="G52" i="29"/>
  <c r="T51" i="29"/>
  <c r="U51" i="29" s="1"/>
  <c r="R51" i="29"/>
  <c r="S51" i="29" s="1"/>
  <c r="Q51" i="29"/>
  <c r="P51" i="29"/>
  <c r="O51" i="29"/>
  <c r="N51" i="29"/>
  <c r="M51" i="29"/>
  <c r="H51" i="29"/>
  <c r="G51" i="29"/>
  <c r="T50" i="29"/>
  <c r="U50" i="29" s="1"/>
  <c r="R50" i="29"/>
  <c r="S50" i="29" s="1"/>
  <c r="Q50" i="29"/>
  <c r="P50" i="29"/>
  <c r="O50" i="29"/>
  <c r="N50" i="29"/>
  <c r="M50" i="29"/>
  <c r="H50" i="29"/>
  <c r="G50" i="29"/>
  <c r="T49" i="29"/>
  <c r="U49" i="29" s="1"/>
  <c r="R49" i="29"/>
  <c r="S49" i="29" s="1"/>
  <c r="Q49" i="29"/>
  <c r="P49" i="29"/>
  <c r="O49" i="29"/>
  <c r="N49" i="29"/>
  <c r="M49" i="29"/>
  <c r="H49" i="29"/>
  <c r="G49" i="29"/>
  <c r="T48" i="29"/>
  <c r="U48" i="29" s="1"/>
  <c r="R48" i="29"/>
  <c r="S48" i="29" s="1"/>
  <c r="Q48" i="29"/>
  <c r="P48" i="29"/>
  <c r="O48" i="29"/>
  <c r="N48" i="29"/>
  <c r="M48" i="29"/>
  <c r="H48" i="29"/>
  <c r="G48" i="29"/>
  <c r="T47" i="29"/>
  <c r="U47" i="29" s="1"/>
  <c r="R47" i="29"/>
  <c r="S47" i="29" s="1"/>
  <c r="Q47" i="29"/>
  <c r="P47" i="29"/>
  <c r="O47" i="29"/>
  <c r="N47" i="29"/>
  <c r="M47" i="29"/>
  <c r="H47" i="29"/>
  <c r="G47" i="29"/>
  <c r="T46" i="29"/>
  <c r="U46" i="29" s="1"/>
  <c r="R46" i="29"/>
  <c r="S46" i="29" s="1"/>
  <c r="Q46" i="29"/>
  <c r="P46" i="29"/>
  <c r="O46" i="29"/>
  <c r="N46" i="29"/>
  <c r="M46" i="29"/>
  <c r="H46" i="29"/>
  <c r="G46" i="29"/>
  <c r="T45" i="29"/>
  <c r="U45" i="29" s="1"/>
  <c r="R45" i="29"/>
  <c r="S45" i="29" s="1"/>
  <c r="Q45" i="29"/>
  <c r="P45" i="29"/>
  <c r="O45" i="29"/>
  <c r="N45" i="29"/>
  <c r="M45" i="29"/>
  <c r="H45" i="29"/>
  <c r="G45" i="29"/>
  <c r="T44" i="29"/>
  <c r="U44" i="29" s="1"/>
  <c r="R44" i="29"/>
  <c r="Q44" i="29"/>
  <c r="P44" i="29"/>
  <c r="O44" i="29"/>
  <c r="N44" i="29"/>
  <c r="M44" i="29"/>
  <c r="H44" i="29"/>
  <c r="G44" i="29"/>
  <c r="T42" i="29"/>
  <c r="U42" i="29" s="1"/>
  <c r="R42" i="29"/>
  <c r="S42" i="29" s="1"/>
  <c r="Q42" i="29"/>
  <c r="P42" i="29"/>
  <c r="O42" i="29"/>
  <c r="N42" i="29"/>
  <c r="M42" i="29"/>
  <c r="H42" i="29"/>
  <c r="G42" i="29"/>
  <c r="T41" i="29"/>
  <c r="U41" i="29" s="1"/>
  <c r="R41" i="29"/>
  <c r="S41" i="29" s="1"/>
  <c r="Q41" i="29"/>
  <c r="P41" i="29"/>
  <c r="O41" i="29"/>
  <c r="N41" i="29"/>
  <c r="M41" i="29"/>
  <c r="H41" i="29"/>
  <c r="G41" i="29"/>
  <c r="T40" i="29"/>
  <c r="U40" i="29" s="1"/>
  <c r="R40" i="29"/>
  <c r="S40" i="29" s="1"/>
  <c r="Q40" i="29"/>
  <c r="P40" i="29"/>
  <c r="O40" i="29"/>
  <c r="N40" i="29"/>
  <c r="M40" i="29"/>
  <c r="H40" i="29"/>
  <c r="G40" i="29"/>
  <c r="T39" i="29"/>
  <c r="U39" i="29" s="1"/>
  <c r="R39" i="29"/>
  <c r="S39" i="29" s="1"/>
  <c r="Q39" i="29"/>
  <c r="P39" i="29"/>
  <c r="O39" i="29"/>
  <c r="N39" i="29"/>
  <c r="M39" i="29"/>
  <c r="H39" i="29"/>
  <c r="G39" i="29"/>
  <c r="T38" i="29"/>
  <c r="U38" i="29" s="1"/>
  <c r="R38" i="29"/>
  <c r="S38" i="29" s="1"/>
  <c r="Q38" i="29"/>
  <c r="P38" i="29"/>
  <c r="O38" i="29"/>
  <c r="N38" i="29"/>
  <c r="M38" i="29"/>
  <c r="H38" i="29"/>
  <c r="G38" i="29"/>
  <c r="T37" i="29"/>
  <c r="U37" i="29" s="1"/>
  <c r="R37" i="29"/>
  <c r="S37" i="29" s="1"/>
  <c r="Q37" i="29"/>
  <c r="P37" i="29"/>
  <c r="O37" i="29"/>
  <c r="N37" i="29"/>
  <c r="M37" i="29"/>
  <c r="H37" i="29"/>
  <c r="G37" i="29"/>
  <c r="T36" i="29"/>
  <c r="U36" i="29" s="1"/>
  <c r="R36" i="29"/>
  <c r="S36" i="29" s="1"/>
  <c r="Q36" i="29"/>
  <c r="P36" i="29"/>
  <c r="O36" i="29"/>
  <c r="N36" i="29"/>
  <c r="M36" i="29"/>
  <c r="H36" i="29"/>
  <c r="G36" i="29"/>
  <c r="T35" i="29"/>
  <c r="U35" i="29" s="1"/>
  <c r="R35" i="29"/>
  <c r="S35" i="29" s="1"/>
  <c r="Q35" i="29"/>
  <c r="P35" i="29"/>
  <c r="O35" i="29"/>
  <c r="N35" i="29"/>
  <c r="M35" i="29"/>
  <c r="H35" i="29"/>
  <c r="G35" i="29"/>
  <c r="T34" i="29"/>
  <c r="U34" i="29" s="1"/>
  <c r="R34" i="29"/>
  <c r="S34" i="29" s="1"/>
  <c r="Q34" i="29"/>
  <c r="P34" i="29"/>
  <c r="O34" i="29"/>
  <c r="N34" i="29"/>
  <c r="M34" i="29"/>
  <c r="H34" i="29"/>
  <c r="G34" i="29"/>
  <c r="T33" i="29"/>
  <c r="U33" i="29" s="1"/>
  <c r="R33" i="29"/>
  <c r="S33" i="29" s="1"/>
  <c r="P33" i="29"/>
  <c r="O33" i="29"/>
  <c r="M33" i="29"/>
  <c r="L33" i="29"/>
  <c r="N33" i="29" s="1"/>
  <c r="I33" i="29"/>
  <c r="G33" i="29"/>
  <c r="F33" i="29"/>
  <c r="H33" i="29" s="1"/>
  <c r="T32" i="29"/>
  <c r="U32" i="29" s="1"/>
  <c r="R32" i="29"/>
  <c r="S32" i="29" s="1"/>
  <c r="P32" i="29"/>
  <c r="O32" i="29"/>
  <c r="M32" i="29"/>
  <c r="L32" i="29"/>
  <c r="N32" i="29" s="1"/>
  <c r="I32" i="29"/>
  <c r="G32" i="29"/>
  <c r="F32" i="29"/>
  <c r="H32" i="29" s="1"/>
  <c r="T31" i="29"/>
  <c r="U31" i="29" s="1"/>
  <c r="R31" i="29"/>
  <c r="S31" i="29" s="1"/>
  <c r="P31" i="29"/>
  <c r="O31" i="29"/>
  <c r="M31" i="29"/>
  <c r="L31" i="29"/>
  <c r="N31" i="29" s="1"/>
  <c r="I31" i="29"/>
  <c r="G31" i="29"/>
  <c r="F31" i="29"/>
  <c r="T29" i="29"/>
  <c r="U29" i="29" s="1"/>
  <c r="R29" i="29"/>
  <c r="S29" i="29" s="1"/>
  <c r="Q29" i="29"/>
  <c r="N29" i="29"/>
  <c r="M29" i="29"/>
  <c r="I29" i="29"/>
  <c r="H29" i="29"/>
  <c r="G29" i="29"/>
  <c r="T28" i="29"/>
  <c r="U28" i="29" s="1"/>
  <c r="R28" i="29"/>
  <c r="S28" i="29" s="1"/>
  <c r="Q28" i="29"/>
  <c r="N28" i="29"/>
  <c r="M28" i="29"/>
  <c r="I28" i="29"/>
  <c r="H28" i="29"/>
  <c r="G28" i="29"/>
  <c r="T27" i="29"/>
  <c r="U27" i="29" s="1"/>
  <c r="R27" i="29"/>
  <c r="S27" i="29" s="1"/>
  <c r="Q27" i="29"/>
  <c r="N27" i="29"/>
  <c r="M27" i="29"/>
  <c r="I27" i="29"/>
  <c r="H27" i="29"/>
  <c r="G27" i="29"/>
  <c r="T26" i="29"/>
  <c r="U26" i="29" s="1"/>
  <c r="R26" i="29"/>
  <c r="S26" i="29" s="1"/>
  <c r="Q26" i="29"/>
  <c r="N26" i="29"/>
  <c r="M26" i="29"/>
  <c r="I26" i="29"/>
  <c r="H26" i="29"/>
  <c r="G26" i="29"/>
  <c r="T25" i="29"/>
  <c r="U25" i="29" s="1"/>
  <c r="R25" i="29"/>
  <c r="S25" i="29" s="1"/>
  <c r="Q25" i="29"/>
  <c r="N25" i="29"/>
  <c r="M25" i="29"/>
  <c r="I25" i="29"/>
  <c r="H25" i="29"/>
  <c r="G25" i="29"/>
  <c r="T24" i="29"/>
  <c r="U24" i="29" s="1"/>
  <c r="R24" i="29"/>
  <c r="S24" i="29" s="1"/>
  <c r="Q24" i="29"/>
  <c r="N24" i="29"/>
  <c r="M24" i="29"/>
  <c r="I24" i="29"/>
  <c r="H24" i="29"/>
  <c r="G24" i="29"/>
  <c r="T23" i="29"/>
  <c r="U23" i="29" s="1"/>
  <c r="R23" i="29"/>
  <c r="S23" i="29" s="1"/>
  <c r="Q23" i="29"/>
  <c r="N23" i="29"/>
  <c r="M23" i="29"/>
  <c r="I23" i="29"/>
  <c r="H23" i="29"/>
  <c r="G23" i="29"/>
  <c r="T22" i="29"/>
  <c r="U22" i="29" s="1"/>
  <c r="R22" i="29"/>
  <c r="S22" i="29" s="1"/>
  <c r="Q22" i="29"/>
  <c r="N22" i="29"/>
  <c r="M22" i="29"/>
  <c r="H22" i="29"/>
  <c r="G22" i="29"/>
  <c r="T21" i="29"/>
  <c r="U21" i="29" s="1"/>
  <c r="R21" i="29"/>
  <c r="S21" i="29" s="1"/>
  <c r="Q21" i="29"/>
  <c r="N21" i="29"/>
  <c r="M21" i="29"/>
  <c r="H21" i="29"/>
  <c r="G21" i="29"/>
  <c r="T20" i="29"/>
  <c r="U20" i="29" s="1"/>
  <c r="R20" i="29"/>
  <c r="S20" i="29" s="1"/>
  <c r="Q20" i="29"/>
  <c r="N20" i="29"/>
  <c r="M20" i="29"/>
  <c r="H20" i="29"/>
  <c r="G20" i="29"/>
  <c r="T19" i="29"/>
  <c r="U19" i="29" s="1"/>
  <c r="R19" i="29"/>
  <c r="S19" i="29" s="1"/>
  <c r="Q19" i="29"/>
  <c r="N19" i="29"/>
  <c r="M19" i="29"/>
  <c r="H19" i="29"/>
  <c r="G19" i="29"/>
  <c r="T18" i="29"/>
  <c r="U18" i="29" s="1"/>
  <c r="R18" i="29"/>
  <c r="S18" i="29" s="1"/>
  <c r="Q18" i="29"/>
  <c r="N18" i="29"/>
  <c r="M18" i="29"/>
  <c r="H18" i="29"/>
  <c r="G18" i="29"/>
  <c r="T16" i="29"/>
  <c r="U16" i="29" s="1"/>
  <c r="R16" i="29"/>
  <c r="S16" i="29" s="1"/>
  <c r="Q16" i="29"/>
  <c r="N16" i="29"/>
  <c r="M16" i="29"/>
  <c r="H16" i="29"/>
  <c r="G16" i="29"/>
  <c r="T15" i="29"/>
  <c r="U15" i="29" s="1"/>
  <c r="R15" i="29"/>
  <c r="S15" i="29" s="1"/>
  <c r="M15" i="29"/>
  <c r="L15" i="29"/>
  <c r="N15" i="29" s="1"/>
  <c r="G15" i="29"/>
  <c r="F15" i="29"/>
  <c r="Q15" i="29" s="1"/>
  <c r="T14" i="29"/>
  <c r="U14" i="29" s="1"/>
  <c r="R14" i="29"/>
  <c r="S14" i="29" s="1"/>
  <c r="N14" i="29"/>
  <c r="M14" i="29"/>
  <c r="G14" i="29"/>
  <c r="F14" i="29"/>
  <c r="T13" i="29"/>
  <c r="U13" i="29" s="1"/>
  <c r="R13" i="29"/>
  <c r="S13" i="29" s="1"/>
  <c r="N13" i="29"/>
  <c r="M13" i="29"/>
  <c r="G13" i="29"/>
  <c r="F13" i="29"/>
  <c r="Q13" i="29" s="1"/>
  <c r="T12" i="29"/>
  <c r="U12" i="29" s="1"/>
  <c r="R12" i="29"/>
  <c r="S12" i="29" s="1"/>
  <c r="N12" i="29"/>
  <c r="M12" i="29"/>
  <c r="G12" i="29"/>
  <c r="F12" i="29"/>
  <c r="H12" i="29" s="1"/>
  <c r="T11" i="29"/>
  <c r="U11" i="29" s="1"/>
  <c r="R11" i="29"/>
  <c r="S11" i="29" s="1"/>
  <c r="N11" i="29"/>
  <c r="M11" i="29"/>
  <c r="G11" i="29"/>
  <c r="F11" i="29"/>
  <c r="Q11" i="29" s="1"/>
  <c r="T10" i="29"/>
  <c r="U10" i="29" s="1"/>
  <c r="R10" i="29"/>
  <c r="S10" i="29" s="1"/>
  <c r="N10" i="29"/>
  <c r="M10" i="29"/>
  <c r="G10" i="29"/>
  <c r="F10" i="29"/>
  <c r="T9" i="29"/>
  <c r="U9" i="29" s="1"/>
  <c r="R9" i="29"/>
  <c r="S9" i="29" s="1"/>
  <c r="N9" i="29"/>
  <c r="M9" i="29"/>
  <c r="G9" i="29"/>
  <c r="F9" i="29"/>
  <c r="Q9" i="29" s="1"/>
  <c r="T8" i="29"/>
  <c r="U8" i="29" s="1"/>
  <c r="R8" i="29"/>
  <c r="S8" i="29" s="1"/>
  <c r="N8" i="29"/>
  <c r="M8" i="29"/>
  <c r="G8" i="29"/>
  <c r="F8" i="29"/>
  <c r="H8" i="29" s="1"/>
  <c r="T7" i="29"/>
  <c r="U7" i="29" s="1"/>
  <c r="R7" i="29"/>
  <c r="S7" i="29" s="1"/>
  <c r="N7" i="29"/>
  <c r="M7" i="29"/>
  <c r="G7" i="29"/>
  <c r="F7" i="29"/>
  <c r="Q7" i="29" s="1"/>
  <c r="T6" i="29"/>
  <c r="U6" i="29" s="1"/>
  <c r="R6" i="29"/>
  <c r="S6" i="29" s="1"/>
  <c r="N6" i="29"/>
  <c r="M6" i="29"/>
  <c r="G6" i="29"/>
  <c r="F6" i="29"/>
  <c r="T5" i="29"/>
  <c r="U5" i="29" s="1"/>
  <c r="R5" i="29"/>
  <c r="S5" i="29" s="1"/>
  <c r="Q5" i="29"/>
  <c r="N5" i="29"/>
  <c r="M5" i="29"/>
  <c r="H5" i="29"/>
  <c r="G5" i="29"/>
  <c r="W81" i="28"/>
  <c r="Y81" i="28" s="1"/>
  <c r="V81" i="28"/>
  <c r="U81" i="28"/>
  <c r="T81" i="28"/>
  <c r="S81" i="28"/>
  <c r="R81" i="28"/>
  <c r="Q81" i="28"/>
  <c r="M81" i="28"/>
  <c r="L81" i="28"/>
  <c r="H81" i="28"/>
  <c r="G81" i="28"/>
  <c r="W80" i="28"/>
  <c r="Y80" i="28" s="1"/>
  <c r="V80" i="28"/>
  <c r="U80" i="28"/>
  <c r="T80" i="28"/>
  <c r="S80" i="28"/>
  <c r="R80" i="28"/>
  <c r="Q80" i="28"/>
  <c r="M80" i="28"/>
  <c r="L80" i="28"/>
  <c r="H80" i="28"/>
  <c r="G80" i="28"/>
  <c r="W79" i="28"/>
  <c r="Y79" i="28" s="1"/>
  <c r="V79" i="28"/>
  <c r="U79" i="28"/>
  <c r="T79" i="28"/>
  <c r="S79" i="28"/>
  <c r="R79" i="28"/>
  <c r="Q79" i="28"/>
  <c r="M79" i="28"/>
  <c r="L79" i="28"/>
  <c r="H79" i="28"/>
  <c r="G79" i="28"/>
  <c r="W78" i="28"/>
  <c r="Y78" i="28" s="1"/>
  <c r="V78" i="28"/>
  <c r="U78" i="28"/>
  <c r="T78" i="28"/>
  <c r="S78" i="28"/>
  <c r="R78" i="28"/>
  <c r="Q78" i="28"/>
  <c r="M78" i="28"/>
  <c r="L78" i="28"/>
  <c r="H78" i="28"/>
  <c r="G78" i="28"/>
  <c r="W77" i="28"/>
  <c r="Y77" i="28" s="1"/>
  <c r="V77" i="28"/>
  <c r="U77" i="28"/>
  <c r="T77" i="28"/>
  <c r="S77" i="28"/>
  <c r="R77" i="28"/>
  <c r="Q77" i="28"/>
  <c r="M77" i="28"/>
  <c r="L77" i="28"/>
  <c r="H77" i="28"/>
  <c r="G77" i="28"/>
  <c r="W76" i="28"/>
  <c r="Y76" i="28" s="1"/>
  <c r="V76" i="28"/>
  <c r="U76" i="28"/>
  <c r="T76" i="28"/>
  <c r="S76" i="28"/>
  <c r="R76" i="28"/>
  <c r="Q76" i="28"/>
  <c r="M76" i="28"/>
  <c r="L76" i="28"/>
  <c r="H76" i="28"/>
  <c r="G76" i="28"/>
  <c r="W75" i="28"/>
  <c r="Y75" i="28" s="1"/>
  <c r="V75" i="28"/>
  <c r="U75" i="28"/>
  <c r="T75" i="28"/>
  <c r="S75" i="28"/>
  <c r="R75" i="28"/>
  <c r="Q75" i="28"/>
  <c r="M75" i="28"/>
  <c r="L75" i="28"/>
  <c r="H75" i="28"/>
  <c r="G75" i="28"/>
  <c r="W74" i="28"/>
  <c r="Y74" i="28" s="1"/>
  <c r="V74" i="28"/>
  <c r="U74" i="28"/>
  <c r="T74" i="28"/>
  <c r="S74" i="28"/>
  <c r="R74" i="28"/>
  <c r="Q74" i="28"/>
  <c r="M74" i="28"/>
  <c r="L74" i="28"/>
  <c r="H74" i="28"/>
  <c r="G74" i="28"/>
  <c r="W73" i="28"/>
  <c r="Y73" i="28" s="1"/>
  <c r="W72" i="28"/>
  <c r="Y72" i="28" s="1"/>
  <c r="W71" i="28"/>
  <c r="Y71" i="28" s="1"/>
  <c r="V71" i="28"/>
  <c r="U71" i="28"/>
  <c r="T71" i="28"/>
  <c r="S71" i="28"/>
  <c r="R71" i="28"/>
  <c r="Q71" i="28"/>
  <c r="M71" i="28"/>
  <c r="L71" i="28"/>
  <c r="H71" i="28"/>
  <c r="G71" i="28"/>
  <c r="W69" i="28"/>
  <c r="Y69" i="28" s="1"/>
  <c r="V69" i="28"/>
  <c r="U69" i="28"/>
  <c r="T69" i="28"/>
  <c r="S69" i="28"/>
  <c r="R69" i="28"/>
  <c r="Q69" i="28"/>
  <c r="M69" i="28"/>
  <c r="L69" i="28"/>
  <c r="H69" i="28"/>
  <c r="G69" i="28"/>
  <c r="W68" i="28"/>
  <c r="Y68" i="28" s="1"/>
  <c r="V68" i="28"/>
  <c r="U68" i="28"/>
  <c r="T68" i="28"/>
  <c r="S68" i="28"/>
  <c r="R68" i="28"/>
  <c r="Q68" i="28"/>
  <c r="M68" i="28"/>
  <c r="L68" i="28"/>
  <c r="H68" i="28"/>
  <c r="G68" i="28"/>
  <c r="W67" i="28"/>
  <c r="Y67" i="28" s="1"/>
  <c r="V67" i="28"/>
  <c r="U67" i="28"/>
  <c r="T67" i="28"/>
  <c r="S67" i="28"/>
  <c r="R67" i="28"/>
  <c r="Q67" i="28"/>
  <c r="M67" i="28"/>
  <c r="L67" i="28"/>
  <c r="H67" i="28"/>
  <c r="G67" i="28"/>
  <c r="W66" i="28"/>
  <c r="Y66" i="28" s="1"/>
  <c r="V66" i="28"/>
  <c r="U66" i="28"/>
  <c r="T66" i="28"/>
  <c r="S66" i="28"/>
  <c r="R66" i="28"/>
  <c r="Q66" i="28"/>
  <c r="M66" i="28"/>
  <c r="L66" i="28"/>
  <c r="H66" i="28"/>
  <c r="G66" i="28"/>
  <c r="W65" i="28"/>
  <c r="Y65" i="28" s="1"/>
  <c r="V65" i="28"/>
  <c r="U65" i="28"/>
  <c r="T65" i="28"/>
  <c r="S65" i="28"/>
  <c r="R65" i="28"/>
  <c r="Q65" i="28"/>
  <c r="M65" i="28"/>
  <c r="L65" i="28"/>
  <c r="H65" i="28"/>
  <c r="G65" i="28"/>
  <c r="W64" i="28"/>
  <c r="Y64" i="28" s="1"/>
  <c r="V64" i="28"/>
  <c r="U64" i="28"/>
  <c r="T64" i="28"/>
  <c r="S64" i="28"/>
  <c r="R64" i="28"/>
  <c r="Q64" i="28"/>
  <c r="M64" i="28"/>
  <c r="L64" i="28"/>
  <c r="H64" i="28"/>
  <c r="G64" i="28"/>
  <c r="W63" i="28"/>
  <c r="Y63" i="28" s="1"/>
  <c r="V63" i="28"/>
  <c r="U63" i="28"/>
  <c r="T63" i="28"/>
  <c r="S63" i="28"/>
  <c r="R63" i="28"/>
  <c r="Q63" i="28"/>
  <c r="M63" i="28"/>
  <c r="L63" i="28"/>
  <c r="H63" i="28"/>
  <c r="G63" i="28"/>
  <c r="W62" i="28"/>
  <c r="Y62" i="28" s="1"/>
  <c r="V62" i="28"/>
  <c r="U62" i="28"/>
  <c r="T62" i="28"/>
  <c r="S62" i="28"/>
  <c r="R62" i="28"/>
  <c r="Q62" i="28"/>
  <c r="M62" i="28"/>
  <c r="L62" i="28"/>
  <c r="H62" i="28"/>
  <c r="G62" i="28"/>
  <c r="W61" i="28"/>
  <c r="Y61" i="28" s="1"/>
  <c r="V61" i="28"/>
  <c r="U61" i="28"/>
  <c r="T61" i="28"/>
  <c r="S61" i="28"/>
  <c r="R61" i="28"/>
  <c r="Q61" i="28"/>
  <c r="M61" i="28"/>
  <c r="L61" i="28"/>
  <c r="H61" i="28"/>
  <c r="G61" i="28"/>
  <c r="W60" i="28"/>
  <c r="Y60" i="28" s="1"/>
  <c r="V60" i="28"/>
  <c r="U60" i="28"/>
  <c r="T60" i="28"/>
  <c r="S60" i="28"/>
  <c r="R60" i="28"/>
  <c r="Q60" i="28"/>
  <c r="M60" i="28"/>
  <c r="L60" i="28"/>
  <c r="H60" i="28"/>
  <c r="G60" i="28"/>
  <c r="W59" i="28"/>
  <c r="Y59" i="28" s="1"/>
  <c r="V59" i="28"/>
  <c r="U59" i="28"/>
  <c r="T59" i="28"/>
  <c r="S59" i="28"/>
  <c r="R59" i="28"/>
  <c r="Q59" i="28"/>
  <c r="M59" i="28"/>
  <c r="L59" i="28"/>
  <c r="H59" i="28"/>
  <c r="G59" i="28"/>
  <c r="W58" i="28"/>
  <c r="Y58" i="28" s="1"/>
  <c r="V58" i="28"/>
  <c r="U58" i="28"/>
  <c r="T58" i="28"/>
  <c r="S58" i="28"/>
  <c r="R58" i="28"/>
  <c r="Q58" i="28"/>
  <c r="M58" i="28"/>
  <c r="L58" i="28"/>
  <c r="H58" i="28"/>
  <c r="G58" i="28"/>
  <c r="W56" i="28"/>
  <c r="V56" i="28"/>
  <c r="U56" i="28"/>
  <c r="T56" i="28"/>
  <c r="S56" i="28"/>
  <c r="R56" i="28"/>
  <c r="Q56" i="28"/>
  <c r="M56" i="28"/>
  <c r="L56" i="28"/>
  <c r="H56" i="28"/>
  <c r="G56" i="28"/>
  <c r="W55" i="28"/>
  <c r="V55" i="28"/>
  <c r="U55" i="28"/>
  <c r="T55" i="28"/>
  <c r="S55" i="28"/>
  <c r="R55" i="28"/>
  <c r="Q55" i="28"/>
  <c r="M55" i="28"/>
  <c r="L55" i="28"/>
  <c r="H55" i="28"/>
  <c r="G55" i="28"/>
  <c r="W54" i="28"/>
  <c r="V54" i="28"/>
  <c r="U54" i="28"/>
  <c r="T54" i="28"/>
  <c r="S54" i="28"/>
  <c r="R54" i="28"/>
  <c r="Q54" i="28"/>
  <c r="M54" i="28"/>
  <c r="L54" i="28"/>
  <c r="H54" i="28"/>
  <c r="G54" i="28"/>
  <c r="W53" i="28"/>
  <c r="V53" i="28"/>
  <c r="U53" i="28"/>
  <c r="T53" i="28"/>
  <c r="S53" i="28"/>
  <c r="R53" i="28"/>
  <c r="Q53" i="28"/>
  <c r="M53" i="28"/>
  <c r="L53" i="28"/>
  <c r="H53" i="28"/>
  <c r="G53" i="28"/>
  <c r="W52" i="28"/>
  <c r="V52" i="28"/>
  <c r="U52" i="28"/>
  <c r="T52" i="28"/>
  <c r="S52" i="28"/>
  <c r="R52" i="28"/>
  <c r="Q52" i="28"/>
  <c r="M52" i="28"/>
  <c r="L52" i="28"/>
  <c r="H52" i="28"/>
  <c r="G52" i="28"/>
  <c r="W51" i="28"/>
  <c r="V51" i="28"/>
  <c r="U51" i="28"/>
  <c r="T51" i="28"/>
  <c r="S51" i="28"/>
  <c r="R51" i="28"/>
  <c r="Q51" i="28"/>
  <c r="M51" i="28"/>
  <c r="L51" i="28"/>
  <c r="H51" i="28"/>
  <c r="G51" i="28"/>
  <c r="W50" i="28"/>
  <c r="V50" i="28"/>
  <c r="U50" i="28"/>
  <c r="T50" i="28"/>
  <c r="S50" i="28"/>
  <c r="R50" i="28"/>
  <c r="Q50" i="28"/>
  <c r="M50" i="28"/>
  <c r="L50" i="28"/>
  <c r="H50" i="28"/>
  <c r="G50" i="28"/>
  <c r="W49" i="28"/>
  <c r="V49" i="28"/>
  <c r="U49" i="28"/>
  <c r="T49" i="28"/>
  <c r="S49" i="28"/>
  <c r="R49" i="28"/>
  <c r="Q49" i="28"/>
  <c r="M49" i="28"/>
  <c r="L49" i="28"/>
  <c r="H49" i="28"/>
  <c r="G49" i="28"/>
  <c r="W48" i="28"/>
  <c r="V48" i="28"/>
  <c r="U48" i="28"/>
  <c r="T48" i="28"/>
  <c r="S48" i="28"/>
  <c r="R48" i="28"/>
  <c r="Q48" i="28"/>
  <c r="M48" i="28"/>
  <c r="L48" i="28"/>
  <c r="H48" i="28"/>
  <c r="G48" i="28"/>
  <c r="W47" i="28"/>
  <c r="V47" i="28"/>
  <c r="U47" i="28"/>
  <c r="T47" i="28"/>
  <c r="S47" i="28"/>
  <c r="R47" i="28"/>
  <c r="Q47" i="28"/>
  <c r="M47" i="28"/>
  <c r="L47" i="28"/>
  <c r="H47" i="28"/>
  <c r="G47" i="28"/>
  <c r="W46" i="28"/>
  <c r="V46" i="28"/>
  <c r="U46" i="28"/>
  <c r="T46" i="28"/>
  <c r="S46" i="28"/>
  <c r="R46" i="28"/>
  <c r="Q46" i="28"/>
  <c r="M46" i="28"/>
  <c r="L46" i="28"/>
  <c r="H46" i="28"/>
  <c r="G46" i="28"/>
  <c r="W45" i="28"/>
  <c r="V45" i="28"/>
  <c r="U45" i="28"/>
  <c r="T45" i="28"/>
  <c r="S45" i="28"/>
  <c r="R45" i="28"/>
  <c r="Q45" i="28"/>
  <c r="M45" i="28"/>
  <c r="L45" i="28"/>
  <c r="H45" i="28"/>
  <c r="G45" i="28"/>
  <c r="W43" i="28"/>
  <c r="V43" i="28"/>
  <c r="U43" i="28"/>
  <c r="T43" i="28"/>
  <c r="S43" i="28"/>
  <c r="R43" i="28"/>
  <c r="Q43" i="28"/>
  <c r="M43" i="28"/>
  <c r="L43" i="28"/>
  <c r="H43" i="28"/>
  <c r="G43" i="28"/>
  <c r="W42" i="28"/>
  <c r="V42" i="28"/>
  <c r="U42" i="28"/>
  <c r="T42" i="28"/>
  <c r="S42" i="28"/>
  <c r="R42" i="28"/>
  <c r="Q42" i="28"/>
  <c r="M42" i="28"/>
  <c r="L42" i="28"/>
  <c r="H42" i="28"/>
  <c r="G42" i="28"/>
  <c r="W41" i="28"/>
  <c r="V41" i="28"/>
  <c r="U41" i="28"/>
  <c r="T41" i="28"/>
  <c r="S41" i="28"/>
  <c r="R41" i="28"/>
  <c r="Q41" i="28"/>
  <c r="M41" i="28"/>
  <c r="L41" i="28"/>
  <c r="H41" i="28"/>
  <c r="G41" i="28"/>
  <c r="W40" i="28"/>
  <c r="V40" i="28"/>
  <c r="U40" i="28"/>
  <c r="T40" i="28"/>
  <c r="S40" i="28"/>
  <c r="R40" i="28"/>
  <c r="Q40" i="28"/>
  <c r="M40" i="28"/>
  <c r="L40" i="28"/>
  <c r="H40" i="28"/>
  <c r="G40" i="28"/>
  <c r="W39" i="28"/>
  <c r="V39" i="28"/>
  <c r="U39" i="28"/>
  <c r="T39" i="28"/>
  <c r="S39" i="28"/>
  <c r="R39" i="28"/>
  <c r="Q39" i="28"/>
  <c r="M39" i="28"/>
  <c r="L39" i="28"/>
  <c r="H39" i="28"/>
  <c r="G39" i="28"/>
  <c r="W38" i="28"/>
  <c r="V38" i="28"/>
  <c r="U38" i="28"/>
  <c r="T38" i="28"/>
  <c r="S38" i="28"/>
  <c r="R38" i="28"/>
  <c r="Q38" i="28"/>
  <c r="M38" i="28"/>
  <c r="L38" i="28"/>
  <c r="H38" i="28"/>
  <c r="G38" i="28"/>
  <c r="W37" i="28"/>
  <c r="V37" i="28"/>
  <c r="U37" i="28"/>
  <c r="T37" i="28"/>
  <c r="S37" i="28"/>
  <c r="R37" i="28"/>
  <c r="Q37" i="28"/>
  <c r="M37" i="28"/>
  <c r="L37" i="28"/>
  <c r="H37" i="28"/>
  <c r="G37" i="28"/>
  <c r="W36" i="28"/>
  <c r="V36" i="28"/>
  <c r="U36" i="28"/>
  <c r="T36" i="28"/>
  <c r="S36" i="28"/>
  <c r="R36" i="28"/>
  <c r="Q36" i="28"/>
  <c r="M36" i="28"/>
  <c r="L36" i="28"/>
  <c r="H36" i="28"/>
  <c r="G36" i="28"/>
  <c r="W35" i="28"/>
  <c r="V35" i="28"/>
  <c r="T35" i="28"/>
  <c r="S35" i="28"/>
  <c r="Q35" i="28"/>
  <c r="P35" i="28"/>
  <c r="R35" i="28" s="1"/>
  <c r="L35" i="28"/>
  <c r="K35" i="28"/>
  <c r="M35" i="28" s="1"/>
  <c r="G35" i="28"/>
  <c r="F35" i="28"/>
  <c r="W34" i="28"/>
  <c r="V34" i="28"/>
  <c r="T34" i="28"/>
  <c r="S34" i="28"/>
  <c r="Q34" i="28"/>
  <c r="P34" i="28"/>
  <c r="R34" i="28" s="1"/>
  <c r="L34" i="28"/>
  <c r="K34" i="28"/>
  <c r="M34" i="28" s="1"/>
  <c r="G34" i="28"/>
  <c r="F34" i="28"/>
  <c r="W33" i="28"/>
  <c r="V33" i="28"/>
  <c r="T33" i="28"/>
  <c r="S33" i="28"/>
  <c r="Q33" i="28"/>
  <c r="P33" i="28"/>
  <c r="R33" i="28" s="1"/>
  <c r="L33" i="28"/>
  <c r="K33" i="28"/>
  <c r="M33" i="28" s="1"/>
  <c r="G33" i="28"/>
  <c r="F33" i="28"/>
  <c r="W32" i="28"/>
  <c r="V32" i="28"/>
  <c r="T32" i="28"/>
  <c r="S32" i="28"/>
  <c r="Q32" i="28"/>
  <c r="P32" i="28"/>
  <c r="R32" i="28" s="1"/>
  <c r="L32" i="28"/>
  <c r="K32" i="28"/>
  <c r="M32" i="28" s="1"/>
  <c r="G32" i="28"/>
  <c r="F32" i="28"/>
  <c r="H32" i="28" s="1"/>
  <c r="W30" i="28"/>
  <c r="V30" i="28"/>
  <c r="U30" i="28"/>
  <c r="R30" i="28"/>
  <c r="Q30" i="28"/>
  <c r="M30" i="28"/>
  <c r="L30" i="28"/>
  <c r="H30" i="28"/>
  <c r="G30" i="28"/>
  <c r="W29" i="28"/>
  <c r="V29" i="28"/>
  <c r="U29" i="28"/>
  <c r="R29" i="28"/>
  <c r="Q29" i="28"/>
  <c r="M29" i="28"/>
  <c r="L29" i="28"/>
  <c r="H29" i="28"/>
  <c r="G29" i="28"/>
  <c r="W28" i="28"/>
  <c r="V28" i="28"/>
  <c r="U28" i="28"/>
  <c r="R28" i="28"/>
  <c r="Q28" i="28"/>
  <c r="M28" i="28"/>
  <c r="L28" i="28"/>
  <c r="H28" i="28"/>
  <c r="G28" i="28"/>
  <c r="W27" i="28"/>
  <c r="V27" i="28"/>
  <c r="U27" i="28"/>
  <c r="R27" i="28"/>
  <c r="Q27" i="28"/>
  <c r="M27" i="28"/>
  <c r="L27" i="28"/>
  <c r="H27" i="28"/>
  <c r="G27" i="28"/>
  <c r="W26" i="28"/>
  <c r="V26" i="28"/>
  <c r="U26" i="28"/>
  <c r="R26" i="28"/>
  <c r="Q26" i="28"/>
  <c r="M26" i="28"/>
  <c r="L26" i="28"/>
  <c r="H26" i="28"/>
  <c r="G26" i="28"/>
  <c r="W25" i="28"/>
  <c r="V25" i="28"/>
  <c r="U25" i="28"/>
  <c r="R25" i="28"/>
  <c r="Q25" i="28"/>
  <c r="M25" i="28"/>
  <c r="L25" i="28"/>
  <c r="H25" i="28"/>
  <c r="G25" i="28"/>
  <c r="W24" i="28"/>
  <c r="V24" i="28"/>
  <c r="U24" i="28"/>
  <c r="R24" i="28"/>
  <c r="Q24" i="28"/>
  <c r="M24" i="28"/>
  <c r="L24" i="28"/>
  <c r="H24" i="28"/>
  <c r="G24" i="28"/>
  <c r="W23" i="28"/>
  <c r="V23" i="28"/>
  <c r="U23" i="28"/>
  <c r="R23" i="28"/>
  <c r="Q23" i="28"/>
  <c r="M23" i="28"/>
  <c r="L23" i="28"/>
  <c r="H23" i="28"/>
  <c r="G23" i="28"/>
  <c r="W22" i="28"/>
  <c r="V22" i="28"/>
  <c r="U22" i="28"/>
  <c r="R22" i="28"/>
  <c r="Q22" i="28"/>
  <c r="M22" i="28"/>
  <c r="L22" i="28"/>
  <c r="H22" i="28"/>
  <c r="G22" i="28"/>
  <c r="W21" i="28"/>
  <c r="V21" i="28"/>
  <c r="U21" i="28"/>
  <c r="R21" i="28"/>
  <c r="Q21" i="28"/>
  <c r="M21" i="28"/>
  <c r="L21" i="28"/>
  <c r="H21" i="28"/>
  <c r="G21" i="28"/>
  <c r="W20" i="28"/>
  <c r="V20" i="28"/>
  <c r="U20" i="28"/>
  <c r="R20" i="28"/>
  <c r="Q20" i="28"/>
  <c r="M20" i="28"/>
  <c r="L20" i="28"/>
  <c r="H20" i="28"/>
  <c r="G20" i="28"/>
  <c r="W19" i="28"/>
  <c r="V19" i="28"/>
  <c r="U19" i="28"/>
  <c r="R19" i="28"/>
  <c r="Q19" i="28"/>
  <c r="M19" i="28"/>
  <c r="L19" i="28"/>
  <c r="H19" i="28"/>
  <c r="G19" i="28"/>
  <c r="W17" i="28"/>
  <c r="V17" i="28"/>
  <c r="U17" i="28"/>
  <c r="R17" i="28"/>
  <c r="Q17" i="28"/>
  <c r="M17" i="28"/>
  <c r="L17" i="28"/>
  <c r="H17" i="28"/>
  <c r="G17" i="28"/>
  <c r="W16" i="28"/>
  <c r="V16" i="28"/>
  <c r="U16" i="28"/>
  <c r="R16" i="28"/>
  <c r="Q16" i="28"/>
  <c r="M16" i="28"/>
  <c r="L16" i="28"/>
  <c r="H16" i="28"/>
  <c r="G16" i="28"/>
  <c r="W15" i="28"/>
  <c r="V15" i="28"/>
  <c r="U15" i="28"/>
  <c r="R15" i="28"/>
  <c r="Q15" i="28"/>
  <c r="M15" i="28"/>
  <c r="L15" i="28"/>
  <c r="H15" i="28"/>
  <c r="G15" i="28"/>
  <c r="W14" i="28"/>
  <c r="V14" i="28"/>
  <c r="U14" i="28"/>
  <c r="R14" i="28"/>
  <c r="Q14" i="28"/>
  <c r="M14" i="28"/>
  <c r="L14" i="28"/>
  <c r="H14" i="28"/>
  <c r="G14" i="28"/>
  <c r="W13" i="28"/>
  <c r="V13" i="28"/>
  <c r="U13" i="28"/>
  <c r="R13" i="28"/>
  <c r="Q13" i="28"/>
  <c r="M13" i="28"/>
  <c r="L13" i="28"/>
  <c r="H13" i="28"/>
  <c r="G13" i="28"/>
  <c r="W12" i="28"/>
  <c r="V12" i="28"/>
  <c r="U12" i="28"/>
  <c r="R12" i="28"/>
  <c r="Q12" i="28"/>
  <c r="M12" i="28"/>
  <c r="L12" i="28"/>
  <c r="H12" i="28"/>
  <c r="G12" i="28"/>
  <c r="W11" i="28"/>
  <c r="V11" i="28"/>
  <c r="U11" i="28"/>
  <c r="R11" i="28"/>
  <c r="Q11" i="28"/>
  <c r="M11" i="28"/>
  <c r="L11" i="28"/>
  <c r="H11" i="28"/>
  <c r="G11" i="28"/>
  <c r="W10" i="28"/>
  <c r="V10" i="28"/>
  <c r="U10" i="28"/>
  <c r="R10" i="28"/>
  <c r="Q10" i="28"/>
  <c r="M10" i="28"/>
  <c r="L10" i="28"/>
  <c r="H10" i="28"/>
  <c r="G10" i="28"/>
  <c r="W9" i="28"/>
  <c r="V9" i="28"/>
  <c r="U9" i="28"/>
  <c r="R9" i="28"/>
  <c r="Q9" i="28"/>
  <c r="M9" i="28"/>
  <c r="L9" i="28"/>
  <c r="H9" i="28"/>
  <c r="G9" i="28"/>
  <c r="W8" i="28"/>
  <c r="V8" i="28"/>
  <c r="U8" i="28"/>
  <c r="R8" i="28"/>
  <c r="Q8" i="28"/>
  <c r="M8" i="28"/>
  <c r="L8" i="28"/>
  <c r="H8" i="28"/>
  <c r="G8" i="28"/>
  <c r="W7" i="28"/>
  <c r="V7" i="28"/>
  <c r="U7" i="28"/>
  <c r="R7" i="28"/>
  <c r="Q7" i="28"/>
  <c r="M7" i="28"/>
  <c r="L7" i="28"/>
  <c r="H7" i="28"/>
  <c r="G7" i="28"/>
  <c r="W6" i="28"/>
  <c r="V6" i="28"/>
  <c r="U6" i="28"/>
  <c r="R6" i="28"/>
  <c r="Q6" i="28"/>
  <c r="M6" i="28"/>
  <c r="L6" i="28"/>
  <c r="H6" i="28"/>
  <c r="G6" i="28"/>
  <c r="W70" i="29" l="1"/>
  <c r="F8" i="5"/>
  <c r="W72" i="29"/>
  <c r="F10" i="5"/>
  <c r="Q27" i="30"/>
  <c r="P27" i="30"/>
  <c r="R27" i="30" s="1"/>
  <c r="G29" i="30"/>
  <c r="F29" i="30"/>
  <c r="X58" i="30"/>
  <c r="Z58" i="30" s="1"/>
  <c r="I7" i="4"/>
  <c r="X59" i="30"/>
  <c r="Z59" i="30" s="1"/>
  <c r="I8" i="4"/>
  <c r="X60" i="30"/>
  <c r="Z60" i="30" s="1"/>
  <c r="I9" i="4"/>
  <c r="X61" i="30"/>
  <c r="Z61" i="30" s="1"/>
  <c r="I10" i="4"/>
  <c r="X62" i="30"/>
  <c r="I11" i="4"/>
  <c r="X63" i="30"/>
  <c r="I12" i="4"/>
  <c r="X64" i="30"/>
  <c r="I13" i="4"/>
  <c r="X65" i="30"/>
  <c r="I14" i="4"/>
  <c r="X66" i="30"/>
  <c r="I15" i="4"/>
  <c r="X67" i="30"/>
  <c r="I16" i="4"/>
  <c r="X68" i="30"/>
  <c r="I17" i="4"/>
  <c r="U83" i="29"/>
  <c r="D87" i="21"/>
  <c r="F87" i="21" s="1"/>
  <c r="U84" i="29"/>
  <c r="D88" i="21"/>
  <c r="F88" i="21" s="1"/>
  <c r="U85" i="29"/>
  <c r="D89" i="21"/>
  <c r="F89" i="21" s="1"/>
  <c r="U86" i="29"/>
  <c r="D90" i="21"/>
  <c r="F90" i="21" s="1"/>
  <c r="U87" i="29"/>
  <c r="F54" i="5" s="1"/>
  <c r="D91" i="21"/>
  <c r="F91" i="21" s="1"/>
  <c r="U88" i="29"/>
  <c r="F55" i="5" s="1"/>
  <c r="D92" i="21"/>
  <c r="F92" i="21" s="1"/>
  <c r="U89" i="29"/>
  <c r="F56" i="5" s="1"/>
  <c r="D93" i="21"/>
  <c r="F93" i="21" s="1"/>
  <c r="U90" i="29"/>
  <c r="F57" i="5" s="1"/>
  <c r="D94" i="21"/>
  <c r="F94" i="21" s="1"/>
  <c r="U91" i="29"/>
  <c r="D95" i="21"/>
  <c r="F95" i="21" s="1"/>
  <c r="U92" i="29"/>
  <c r="F59" i="5" s="1"/>
  <c r="D96" i="21"/>
  <c r="F96" i="21" s="1"/>
  <c r="U93" i="29"/>
  <c r="F60" i="5" s="1"/>
  <c r="D97" i="21"/>
  <c r="F97" i="21" s="1"/>
  <c r="U94" i="29"/>
  <c r="F61" i="5" s="1"/>
  <c r="D98" i="21"/>
  <c r="F98" i="21" s="1"/>
  <c r="X73" i="30"/>
  <c r="Z73" i="30" s="1"/>
  <c r="I50" i="4"/>
  <c r="J50" i="4" s="1"/>
  <c r="J68" i="4" s="1"/>
  <c r="X74" i="30"/>
  <c r="Z74" i="30" s="1"/>
  <c r="I51" i="4"/>
  <c r="J51" i="4" s="1"/>
  <c r="J69" i="4" s="1"/>
  <c r="X75" i="30"/>
  <c r="Z75" i="30" s="1"/>
  <c r="I52" i="4"/>
  <c r="X76" i="30"/>
  <c r="Z76" i="30" s="1"/>
  <c r="I53" i="4"/>
  <c r="X77" i="30"/>
  <c r="Z77" i="30" s="1"/>
  <c r="I54" i="4"/>
  <c r="J54" i="4" s="1"/>
  <c r="J72" i="4" s="1"/>
  <c r="X78" i="30"/>
  <c r="Z78" i="30" s="1"/>
  <c r="I55" i="4"/>
  <c r="J55" i="4" s="1"/>
  <c r="J73" i="4" s="1"/>
  <c r="X79" i="30"/>
  <c r="Z79" i="30" s="1"/>
  <c r="I56" i="4"/>
  <c r="J56" i="4" s="1"/>
  <c r="J74" i="4" s="1"/>
  <c r="X80" i="30"/>
  <c r="Z80" i="30" s="1"/>
  <c r="I57" i="4"/>
  <c r="J57" i="4" s="1"/>
  <c r="J75" i="4" s="1"/>
  <c r="X81" i="30"/>
  <c r="Z81" i="30" s="1"/>
  <c r="I58" i="4"/>
  <c r="J58" i="4" s="1"/>
  <c r="J76" i="4" s="1"/>
  <c r="X82" i="30"/>
  <c r="Z82" i="30" s="1"/>
  <c r="I59" i="4"/>
  <c r="J59" i="4" s="1"/>
  <c r="J77" i="4" s="1"/>
  <c r="F162" i="51"/>
  <c r="H95" i="24"/>
  <c r="K26" i="25"/>
  <c r="H98" i="24"/>
  <c r="N26" i="25"/>
  <c r="N33" i="14"/>
  <c r="D88" i="24"/>
  <c r="Y84" i="24"/>
  <c r="Z72" i="24"/>
  <c r="M116" i="6"/>
  <c r="M115" i="6"/>
  <c r="G94" i="24"/>
  <c r="E94" i="24"/>
  <c r="Z77" i="24"/>
  <c r="N38" i="14"/>
  <c r="O38" i="14" s="1"/>
  <c r="E194" i="51" s="1"/>
  <c r="F194" i="51" s="1"/>
  <c r="D93" i="24"/>
  <c r="I77" i="15"/>
  <c r="E167" i="51"/>
  <c r="H99" i="24"/>
  <c r="O26" i="25"/>
  <c r="X69" i="30"/>
  <c r="I18" i="4"/>
  <c r="X71" i="30"/>
  <c r="Z71" i="30" s="1"/>
  <c r="I48" i="4"/>
  <c r="X72" i="30"/>
  <c r="Z72" i="30" s="1"/>
  <c r="I49" i="4"/>
  <c r="J49" i="4" s="1"/>
  <c r="J67" i="4" s="1"/>
  <c r="V22" i="30"/>
  <c r="L30" i="30"/>
  <c r="W29" i="30"/>
  <c r="X29" i="30" s="1"/>
  <c r="P30" i="30"/>
  <c r="R30" i="30" s="1"/>
  <c r="V21" i="30"/>
  <c r="Q32" i="29"/>
  <c r="U73" i="29"/>
  <c r="H11" i="29"/>
  <c r="Q12" i="29"/>
  <c r="Z69" i="30"/>
  <c r="W9" i="30"/>
  <c r="X9" i="30" s="1"/>
  <c r="V15" i="30"/>
  <c r="W21" i="30"/>
  <c r="X21" i="30" s="1"/>
  <c r="K28" i="30"/>
  <c r="M28" i="30" s="1"/>
  <c r="P29" i="30"/>
  <c r="R29" i="30" s="1"/>
  <c r="P21" i="30"/>
  <c r="R21" i="30" s="1"/>
  <c r="V27" i="30"/>
  <c r="Q29" i="30"/>
  <c r="W28" i="30"/>
  <c r="X28" i="30" s="1"/>
  <c r="V29" i="30"/>
  <c r="V8" i="30"/>
  <c r="P23" i="30"/>
  <c r="R23" i="30" s="1"/>
  <c r="L25" i="30"/>
  <c r="W27" i="30"/>
  <c r="X27" i="30" s="1"/>
  <c r="F32" i="30"/>
  <c r="V6" i="30"/>
  <c r="V26" i="30"/>
  <c r="K32" i="30"/>
  <c r="M32" i="30" s="1"/>
  <c r="W22" i="30"/>
  <c r="X22" i="30" s="1"/>
  <c r="G26" i="30"/>
  <c r="W32" i="30"/>
  <c r="X32" i="30" s="1"/>
  <c r="L21" i="30"/>
  <c r="F27" i="30"/>
  <c r="V7" i="30"/>
  <c r="W8" i="30"/>
  <c r="X8" i="30" s="1"/>
  <c r="Q25" i="30"/>
  <c r="L26" i="30"/>
  <c r="G27" i="30"/>
  <c r="P28" i="30"/>
  <c r="R28" i="30" s="1"/>
  <c r="K29" i="30"/>
  <c r="M29" i="30" s="1"/>
  <c r="F30" i="30"/>
  <c r="H30" i="30" s="1"/>
  <c r="V30" i="30"/>
  <c r="U33" i="30"/>
  <c r="Z64" i="30"/>
  <c r="Z66" i="30"/>
  <c r="V11" i="30"/>
  <c r="W14" i="30"/>
  <c r="X14" i="30" s="1"/>
  <c r="V25" i="30"/>
  <c r="Q28" i="30"/>
  <c r="W30" i="30"/>
  <c r="X30" i="30" s="1"/>
  <c r="G11" i="30"/>
  <c r="W17" i="30"/>
  <c r="X17" i="30" s="1"/>
  <c r="Q21" i="30"/>
  <c r="L22" i="30"/>
  <c r="W25" i="30"/>
  <c r="X25" i="30" s="1"/>
  <c r="P26" i="30"/>
  <c r="R26" i="30" s="1"/>
  <c r="K27" i="30"/>
  <c r="M27" i="30" s="1"/>
  <c r="F28" i="30"/>
  <c r="H28" i="30" s="1"/>
  <c r="V28" i="30"/>
  <c r="Q32" i="30"/>
  <c r="M33" i="30"/>
  <c r="V13" i="30"/>
  <c r="V32" i="30"/>
  <c r="W6" i="30"/>
  <c r="X6" i="30" s="1"/>
  <c r="V14" i="30"/>
  <c r="V16" i="30"/>
  <c r="Q22" i="30"/>
  <c r="F26" i="30"/>
  <c r="W26" i="30"/>
  <c r="X26" i="30" s="1"/>
  <c r="W13" i="30"/>
  <c r="X13" i="30" s="1"/>
  <c r="W70" i="30"/>
  <c r="Z68" i="30"/>
  <c r="U34" i="28"/>
  <c r="H34" i="28"/>
  <c r="W93" i="29"/>
  <c r="W94" i="29"/>
  <c r="U35" i="28"/>
  <c r="W88" i="29"/>
  <c r="W92" i="29"/>
  <c r="Z63" i="30"/>
  <c r="Z65" i="30"/>
  <c r="W89" i="29"/>
  <c r="Z67" i="30"/>
  <c r="W79" i="29"/>
  <c r="Z62" i="30"/>
  <c r="W87" i="29"/>
  <c r="W90" i="29"/>
  <c r="O93" i="29"/>
  <c r="U78" i="29"/>
  <c r="W75" i="29"/>
  <c r="H15" i="29"/>
  <c r="W76" i="29"/>
  <c r="H13" i="29"/>
  <c r="D14" i="21"/>
  <c r="D13" i="21"/>
  <c r="H9" i="29"/>
  <c r="R43" i="29"/>
  <c r="S43" i="29" s="1"/>
  <c r="D12" i="21"/>
  <c r="U71" i="29"/>
  <c r="W77" i="29"/>
  <c r="D7" i="21"/>
  <c r="D11" i="21"/>
  <c r="H7" i="29"/>
  <c r="R56" i="29"/>
  <c r="S56" i="29" s="1"/>
  <c r="W80" i="29"/>
  <c r="Q8" i="29"/>
  <c r="S44" i="29"/>
  <c r="W74" i="29"/>
  <c r="D17" i="21"/>
  <c r="D9" i="21"/>
  <c r="D16" i="21"/>
  <c r="M80" i="29"/>
  <c r="N80" i="29"/>
  <c r="R81" i="29"/>
  <c r="S81" i="29" s="1"/>
  <c r="T81" i="29"/>
  <c r="M81" i="29"/>
  <c r="W12" i="30"/>
  <c r="X12" i="30" s="1"/>
  <c r="Q12" i="30"/>
  <c r="V12" i="30"/>
  <c r="W19" i="30"/>
  <c r="X19" i="30" s="1"/>
  <c r="P19" i="30"/>
  <c r="R19" i="30" s="1"/>
  <c r="Q19" i="30"/>
  <c r="V24" i="30"/>
  <c r="K24" i="30"/>
  <c r="L24" i="30"/>
  <c r="Q10" i="29"/>
  <c r="H10" i="29"/>
  <c r="V10" i="30"/>
  <c r="G10" i="30"/>
  <c r="V20" i="30"/>
  <c r="G20" i="30"/>
  <c r="F20" i="30"/>
  <c r="W11" i="30"/>
  <c r="X11" i="30" s="1"/>
  <c r="P20" i="30"/>
  <c r="R20" i="30" s="1"/>
  <c r="W20" i="30"/>
  <c r="X20" i="30" s="1"/>
  <c r="Q20" i="30"/>
  <c r="U25" i="30"/>
  <c r="V57" i="28"/>
  <c r="Q6" i="29"/>
  <c r="H6" i="29"/>
  <c r="H21" i="30"/>
  <c r="X70" i="30"/>
  <c r="Y70" i="30"/>
  <c r="V44" i="28"/>
  <c r="U33" i="28"/>
  <c r="H33" i="28"/>
  <c r="Q14" i="29"/>
  <c r="H14" i="29"/>
  <c r="H31" i="29"/>
  <c r="Q31" i="29"/>
  <c r="F19" i="30"/>
  <c r="V19" i="30"/>
  <c r="G19" i="30"/>
  <c r="W16" i="30"/>
  <c r="X16" i="30" s="1"/>
  <c r="O80" i="29"/>
  <c r="G7" i="30"/>
  <c r="Q9" i="30"/>
  <c r="G15" i="30"/>
  <c r="Q17" i="30"/>
  <c r="K23" i="30"/>
  <c r="V23" i="30"/>
  <c r="W24" i="30"/>
  <c r="X24" i="30" s="1"/>
  <c r="Q6" i="30"/>
  <c r="W10" i="30"/>
  <c r="X10" i="30" s="1"/>
  <c r="Q14" i="30"/>
  <c r="K22" i="30"/>
  <c r="W23" i="30"/>
  <c r="X23" i="30" s="1"/>
  <c r="W7" i="30"/>
  <c r="X7" i="30" s="1"/>
  <c r="W15" i="30"/>
  <c r="X15" i="30" s="1"/>
  <c r="U32" i="28"/>
  <c r="R80" i="29"/>
  <c r="S80" i="29" s="1"/>
  <c r="G6" i="30"/>
  <c r="V9" i="30"/>
  <c r="G14" i="30"/>
  <c r="V17" i="30"/>
  <c r="K19" i="30"/>
  <c r="M19" i="30" s="1"/>
  <c r="K20" i="30"/>
  <c r="M20" i="30" s="1"/>
  <c r="P24" i="30"/>
  <c r="R24" i="30" s="1"/>
  <c r="H35" i="28"/>
  <c r="Q33" i="29"/>
  <c r="H25" i="30"/>
  <c r="H26" i="30"/>
  <c r="H27" i="30"/>
  <c r="H29" i="30"/>
  <c r="W71" i="29" l="1"/>
  <c r="F9" i="5"/>
  <c r="W78" i="29"/>
  <c r="F16" i="5"/>
  <c r="W73" i="29"/>
  <c r="F11" i="5"/>
  <c r="E32" i="51"/>
  <c r="F32" i="51" s="1"/>
  <c r="E64" i="15"/>
  <c r="F167" i="51"/>
  <c r="E174" i="51"/>
  <c r="E93" i="24"/>
  <c r="G93" i="24"/>
  <c r="H94" i="24"/>
  <c r="J26" i="25"/>
  <c r="Z84" i="24"/>
  <c r="G88" i="24"/>
  <c r="G100" i="24" s="1"/>
  <c r="E88" i="24"/>
  <c r="D100" i="24"/>
  <c r="E100" i="24" s="1"/>
  <c r="N45" i="14"/>
  <c r="O33" i="14"/>
  <c r="E42" i="51"/>
  <c r="F42" i="51" s="1"/>
  <c r="O64" i="15"/>
  <c r="E41" i="51"/>
  <c r="F41" i="51" s="1"/>
  <c r="N64" i="15"/>
  <c r="L76" i="4"/>
  <c r="L75" i="4"/>
  <c r="E40" i="51"/>
  <c r="F40" i="51" s="1"/>
  <c r="M64" i="15"/>
  <c r="L74" i="4"/>
  <c r="E39" i="51"/>
  <c r="F39" i="51" s="1"/>
  <c r="L64" i="15"/>
  <c r="L73" i="4"/>
  <c r="E38" i="51"/>
  <c r="F38" i="51" s="1"/>
  <c r="K64" i="15"/>
  <c r="E37" i="51"/>
  <c r="F37" i="51" s="1"/>
  <c r="J64" i="15"/>
  <c r="L72" i="4"/>
  <c r="L53" i="4"/>
  <c r="J53" i="4"/>
  <c r="J71" i="4" s="1"/>
  <c r="L52" i="4"/>
  <c r="J52" i="4"/>
  <c r="J70" i="4" s="1"/>
  <c r="E34" i="51"/>
  <c r="F34" i="51" s="1"/>
  <c r="G64" i="15"/>
  <c r="E33" i="51"/>
  <c r="F33" i="51" s="1"/>
  <c r="F64" i="15"/>
  <c r="C44" i="14"/>
  <c r="F44" i="14" s="1"/>
  <c r="P44" i="14" s="1"/>
  <c r="O60" i="15" s="1"/>
  <c r="D158" i="21"/>
  <c r="E158" i="21" s="1"/>
  <c r="O23" i="25" s="1"/>
  <c r="O27" i="25" s="1"/>
  <c r="O28" i="25" s="1"/>
  <c r="O31" i="25" s="1"/>
  <c r="G98" i="21"/>
  <c r="E69" i="51"/>
  <c r="F69" i="51" s="1"/>
  <c r="O71" i="15"/>
  <c r="D80" i="5"/>
  <c r="H80" i="5" s="1"/>
  <c r="N80" i="5" s="1"/>
  <c r="O73" i="15" s="1"/>
  <c r="C43" i="14"/>
  <c r="F43" i="14" s="1"/>
  <c r="P43" i="14" s="1"/>
  <c r="N60" i="15" s="1"/>
  <c r="G97" i="21"/>
  <c r="D157" i="21"/>
  <c r="E157" i="21" s="1"/>
  <c r="N23" i="25" s="1"/>
  <c r="N27" i="25" s="1"/>
  <c r="N28" i="25" s="1"/>
  <c r="N31" i="25" s="1"/>
  <c r="E68" i="51"/>
  <c r="F68" i="51" s="1"/>
  <c r="N71" i="15"/>
  <c r="D79" i="5"/>
  <c r="H79" i="5" s="1"/>
  <c r="N79" i="5" s="1"/>
  <c r="N73" i="15" s="1"/>
  <c r="C42" i="14"/>
  <c r="F42" i="14" s="1"/>
  <c r="P42" i="14" s="1"/>
  <c r="M60" i="15" s="1"/>
  <c r="G96" i="21"/>
  <c r="D156" i="21"/>
  <c r="E156" i="21" s="1"/>
  <c r="M23" i="25" s="1"/>
  <c r="M27" i="25" s="1"/>
  <c r="M28" i="25" s="1"/>
  <c r="M31" i="25" s="1"/>
  <c r="E67" i="51"/>
  <c r="F67" i="51" s="1"/>
  <c r="M71" i="15"/>
  <c r="D78" i="5"/>
  <c r="H78" i="5" s="1"/>
  <c r="N78" i="5" s="1"/>
  <c r="M73" i="15" s="1"/>
  <c r="C41" i="14"/>
  <c r="F41" i="14" s="1"/>
  <c r="P41" i="14" s="1"/>
  <c r="L60" i="15" s="1"/>
  <c r="G95" i="21"/>
  <c r="D155" i="21"/>
  <c r="E155" i="21" s="1"/>
  <c r="L23" i="25" s="1"/>
  <c r="L27" i="25" s="1"/>
  <c r="L28" i="25" s="1"/>
  <c r="L31" i="25" s="1"/>
  <c r="W91" i="29"/>
  <c r="F58" i="5"/>
  <c r="C40" i="14"/>
  <c r="F40" i="14" s="1"/>
  <c r="P40" i="14" s="1"/>
  <c r="K60" i="15" s="1"/>
  <c r="D154" i="21"/>
  <c r="E154" i="21" s="1"/>
  <c r="K23" i="25" s="1"/>
  <c r="K27" i="25" s="1"/>
  <c r="K28" i="25" s="1"/>
  <c r="K31" i="25" s="1"/>
  <c r="G94" i="21"/>
  <c r="E65" i="51"/>
  <c r="F65" i="51" s="1"/>
  <c r="K71" i="15"/>
  <c r="D76" i="5"/>
  <c r="H76" i="5" s="1"/>
  <c r="N76" i="5" s="1"/>
  <c r="K73" i="15" s="1"/>
  <c r="C39" i="14"/>
  <c r="F39" i="14" s="1"/>
  <c r="P39" i="14" s="1"/>
  <c r="J60" i="15" s="1"/>
  <c r="D153" i="21"/>
  <c r="E153" i="21" s="1"/>
  <c r="J23" i="25" s="1"/>
  <c r="G93" i="21"/>
  <c r="E64" i="51"/>
  <c r="F64" i="51" s="1"/>
  <c r="J71" i="15"/>
  <c r="D75" i="5"/>
  <c r="H75" i="5" s="1"/>
  <c r="N75" i="5" s="1"/>
  <c r="J73" i="15" s="1"/>
  <c r="G92" i="21"/>
  <c r="C38" i="14"/>
  <c r="F38" i="14" s="1"/>
  <c r="D152" i="21"/>
  <c r="E152" i="21" s="1"/>
  <c r="I23" i="25" s="1"/>
  <c r="E63" i="51"/>
  <c r="F63" i="51" s="1"/>
  <c r="I71" i="15"/>
  <c r="D74" i="5"/>
  <c r="H74" i="5" s="1"/>
  <c r="N74" i="5" s="1"/>
  <c r="I73" i="15" s="1"/>
  <c r="C37" i="14"/>
  <c r="F37" i="14" s="1"/>
  <c r="P37" i="14" s="1"/>
  <c r="H60" i="15" s="1"/>
  <c r="G91" i="21"/>
  <c r="D151" i="21"/>
  <c r="E151" i="21" s="1"/>
  <c r="H23" i="25" s="1"/>
  <c r="H27" i="25" s="1"/>
  <c r="H28" i="25" s="1"/>
  <c r="H31" i="25" s="1"/>
  <c r="E62" i="51"/>
  <c r="F62" i="51" s="1"/>
  <c r="H71" i="15"/>
  <c r="D73" i="5"/>
  <c r="H73" i="5" s="1"/>
  <c r="N73" i="5" s="1"/>
  <c r="H73" i="15" s="1"/>
  <c r="C36" i="14"/>
  <c r="F36" i="14" s="1"/>
  <c r="P36" i="14" s="1"/>
  <c r="G60" i="15" s="1"/>
  <c r="D150" i="21"/>
  <c r="E150" i="21" s="1"/>
  <c r="G23" i="25" s="1"/>
  <c r="G27" i="25" s="1"/>
  <c r="G28" i="25" s="1"/>
  <c r="G31" i="25" s="1"/>
  <c r="G90" i="21"/>
  <c r="W86" i="29"/>
  <c r="F53" i="5"/>
  <c r="C35" i="14"/>
  <c r="F35" i="14" s="1"/>
  <c r="P35" i="14" s="1"/>
  <c r="F60" i="15" s="1"/>
  <c r="G89" i="21"/>
  <c r="D149" i="21"/>
  <c r="E149" i="21" s="1"/>
  <c r="F23" i="25" s="1"/>
  <c r="F27" i="25" s="1"/>
  <c r="F28" i="25" s="1"/>
  <c r="F31" i="25" s="1"/>
  <c r="W85" i="29"/>
  <c r="F52" i="5"/>
  <c r="C34" i="14"/>
  <c r="F34" i="14" s="1"/>
  <c r="P34" i="14" s="1"/>
  <c r="E60" i="15" s="1"/>
  <c r="D148" i="21"/>
  <c r="E148" i="21" s="1"/>
  <c r="E23" i="25" s="1"/>
  <c r="E27" i="25" s="1"/>
  <c r="E28" i="25" s="1"/>
  <c r="E31" i="25" s="1"/>
  <c r="G88" i="21"/>
  <c r="W84" i="29"/>
  <c r="F51" i="5"/>
  <c r="C33" i="14"/>
  <c r="G87" i="21"/>
  <c r="D147" i="21"/>
  <c r="E147" i="21" s="1"/>
  <c r="D23" i="25" s="1"/>
  <c r="W83" i="29"/>
  <c r="F50" i="5"/>
  <c r="I61" i="4"/>
  <c r="J48" i="4"/>
  <c r="I60" i="4"/>
  <c r="U21" i="30"/>
  <c r="U32" i="30"/>
  <c r="H32" i="30"/>
  <c r="U30" i="30"/>
  <c r="U26" i="30"/>
  <c r="U29" i="30"/>
  <c r="U27" i="30"/>
  <c r="U28" i="30"/>
  <c r="U81" i="29"/>
  <c r="D18" i="21"/>
  <c r="U20" i="30"/>
  <c r="H20" i="30"/>
  <c r="Z70" i="30"/>
  <c r="M24" i="30"/>
  <c r="U24" i="30"/>
  <c r="M22" i="30"/>
  <c r="U22" i="30"/>
  <c r="U19" i="30"/>
  <c r="H19" i="30"/>
  <c r="M23" i="30"/>
  <c r="U23" i="30"/>
  <c r="E58" i="51" l="1"/>
  <c r="D71" i="15"/>
  <c r="F62" i="5"/>
  <c r="F63" i="5"/>
  <c r="D69" i="5"/>
  <c r="P23" i="25"/>
  <c r="C45" i="14"/>
  <c r="F33" i="14"/>
  <c r="E59" i="51"/>
  <c r="F59" i="51" s="1"/>
  <c r="E71" i="15"/>
  <c r="D70" i="5"/>
  <c r="H70" i="5" s="1"/>
  <c r="N70" i="5" s="1"/>
  <c r="E73" i="15" s="1"/>
  <c r="E60" i="51"/>
  <c r="F60" i="51" s="1"/>
  <c r="F71" i="15"/>
  <c r="D71" i="5"/>
  <c r="H71" i="5" s="1"/>
  <c r="N71" i="5" s="1"/>
  <c r="F73" i="15" s="1"/>
  <c r="E61" i="51"/>
  <c r="F61" i="51" s="1"/>
  <c r="G71" i="15"/>
  <c r="D72" i="5"/>
  <c r="H72" i="5" s="1"/>
  <c r="N72" i="5" s="1"/>
  <c r="G73" i="15" s="1"/>
  <c r="F45" i="14"/>
  <c r="P38" i="14"/>
  <c r="I60" i="15" s="1"/>
  <c r="E66" i="51"/>
  <c r="F66" i="51" s="1"/>
  <c r="L71" i="15"/>
  <c r="D77" i="5"/>
  <c r="H77" i="5" s="1"/>
  <c r="N77" i="5" s="1"/>
  <c r="L73" i="15" s="1"/>
  <c r="E35" i="51"/>
  <c r="F35" i="51" s="1"/>
  <c r="H64" i="15"/>
  <c r="L70" i="4"/>
  <c r="E36" i="51"/>
  <c r="F36" i="51" s="1"/>
  <c r="I64" i="15"/>
  <c r="L71" i="4"/>
  <c r="P33" i="14"/>
  <c r="D60" i="15" s="1"/>
  <c r="P60" i="15" s="1"/>
  <c r="Q60" i="15" s="1"/>
  <c r="O45" i="14"/>
  <c r="P45" i="14" s="1"/>
  <c r="E189" i="51"/>
  <c r="H88" i="24"/>
  <c r="D26" i="25"/>
  <c r="J27" i="25"/>
  <c r="J28" i="25" s="1"/>
  <c r="J31" i="25" s="1"/>
  <c r="H93" i="24"/>
  <c r="I26" i="25"/>
  <c r="I27" i="25" s="1"/>
  <c r="I28" i="25" s="1"/>
  <c r="I31" i="25" s="1"/>
  <c r="F174" i="51"/>
  <c r="I165" i="51" s="1"/>
  <c r="I167" i="51"/>
  <c r="W81" i="29"/>
  <c r="F19" i="5"/>
  <c r="J61" i="4"/>
  <c r="J60" i="4"/>
  <c r="J78" i="4" s="1"/>
  <c r="D42" i="47" s="1"/>
  <c r="J66" i="4"/>
  <c r="D35" i="26"/>
  <c r="D38" i="26" s="1"/>
  <c r="I35" i="26"/>
  <c r="I38" i="26" s="1"/>
  <c r="N35" i="26"/>
  <c r="N38" i="26" s="1"/>
  <c r="S35" i="26"/>
  <c r="S38" i="26" s="1"/>
  <c r="X35" i="26"/>
  <c r="X38" i="26" s="1"/>
  <c r="AC35" i="26"/>
  <c r="AC38" i="26" s="1"/>
  <c r="AH31" i="26"/>
  <c r="AH30" i="26"/>
  <c r="AH27" i="26"/>
  <c r="AH26" i="26"/>
  <c r="AH25" i="26"/>
  <c r="AH24" i="26"/>
  <c r="AH23" i="26"/>
  <c r="AH20" i="26"/>
  <c r="AH19" i="26"/>
  <c r="AH18" i="26"/>
  <c r="AH17" i="26"/>
  <c r="AH16" i="26"/>
  <c r="AH13" i="26"/>
  <c r="AH12" i="26"/>
  <c r="AH11" i="26"/>
  <c r="E31" i="51" l="1"/>
  <c r="D64" i="15"/>
  <c r="P26" i="25"/>
  <c r="D27" i="25"/>
  <c r="H100" i="24"/>
  <c r="E201" i="51"/>
  <c r="F189" i="51"/>
  <c r="D82" i="5"/>
  <c r="D81" i="5"/>
  <c r="H69" i="5"/>
  <c r="P71" i="15"/>
  <c r="Q71" i="15" s="1"/>
  <c r="F58" i="51"/>
  <c r="E70" i="51"/>
  <c r="J79" i="4"/>
  <c r="C36" i="27"/>
  <c r="C39" i="27" s="1"/>
  <c r="H36" i="27"/>
  <c r="H39" i="27" s="1"/>
  <c r="M36" i="27"/>
  <c r="M39" i="27" s="1"/>
  <c r="R36" i="27"/>
  <c r="R39" i="27" s="1"/>
  <c r="W36" i="27"/>
  <c r="W39" i="27" s="1"/>
  <c r="AC36" i="27"/>
  <c r="AC39" i="27" s="1"/>
  <c r="AH36" i="27"/>
  <c r="AH39" i="27" s="1"/>
  <c r="AM36" i="27"/>
  <c r="BG36" i="27"/>
  <c r="BB37" i="27"/>
  <c r="AW37" i="27"/>
  <c r="AM39" i="27" l="1"/>
  <c r="D59" i="21" s="1"/>
  <c r="G15" i="5"/>
  <c r="I63" i="51"/>
  <c r="F70" i="51"/>
  <c r="I61" i="51" s="1"/>
  <c r="H82" i="5"/>
  <c r="N69" i="5"/>
  <c r="H81" i="5"/>
  <c r="I194" i="51"/>
  <c r="F201" i="51"/>
  <c r="I192" i="51" s="1"/>
  <c r="E205" i="51"/>
  <c r="P27" i="25"/>
  <c r="R27" i="25" s="1"/>
  <c r="D28" i="25"/>
  <c r="E43" i="51"/>
  <c r="F31" i="51"/>
  <c r="BG39" i="27"/>
  <c r="D63" i="21" s="1"/>
  <c r="H63" i="21" s="1"/>
  <c r="I63" i="21" s="1"/>
  <c r="G19" i="5"/>
  <c r="P64" i="15"/>
  <c r="Q64" i="15" s="1"/>
  <c r="AR36" i="27"/>
  <c r="BB36" i="27"/>
  <c r="AW13" i="27"/>
  <c r="AW36" i="27" s="1"/>
  <c r="BG35" i="26"/>
  <c r="BG38" i="26" s="1"/>
  <c r="D48" i="21" s="1"/>
  <c r="H48" i="21" s="1"/>
  <c r="I48" i="21" s="1"/>
  <c r="BB35" i="26"/>
  <c r="BB38" i="26" s="1"/>
  <c r="D47" i="21" s="1"/>
  <c r="H47" i="21" s="1"/>
  <c r="I47" i="21" s="1"/>
  <c r="AW35" i="26"/>
  <c r="AW38" i="26" s="1"/>
  <c r="D46" i="21" s="1"/>
  <c r="H46" i="21" s="1"/>
  <c r="AR35" i="26"/>
  <c r="AR38" i="26" s="1"/>
  <c r="D45" i="21" s="1"/>
  <c r="H45" i="21" s="1"/>
  <c r="I45" i="21" s="1"/>
  <c r="AM32" i="26"/>
  <c r="AM31" i="26"/>
  <c r="AM30" i="26"/>
  <c r="AM29" i="26"/>
  <c r="AM28" i="26"/>
  <c r="AM25" i="26"/>
  <c r="AM24" i="26"/>
  <c r="AM22" i="26"/>
  <c r="AM21" i="26"/>
  <c r="AM18" i="26"/>
  <c r="AM17" i="26"/>
  <c r="AM16" i="26"/>
  <c r="AM15" i="26"/>
  <c r="AM11" i="26"/>
  <c r="AM10" i="26"/>
  <c r="AM9" i="26"/>
  <c r="AM8" i="26"/>
  <c r="AM7" i="26"/>
  <c r="AM4" i="26"/>
  <c r="AM3" i="26"/>
  <c r="Q11" i="25"/>
  <c r="Q10" i="25"/>
  <c r="V33" i="24"/>
  <c r="S33" i="24"/>
  <c r="P33" i="24"/>
  <c r="M33" i="24"/>
  <c r="J33" i="24"/>
  <c r="G33" i="24"/>
  <c r="D33" i="24"/>
  <c r="X32" i="24"/>
  <c r="U32" i="24"/>
  <c r="R32" i="24"/>
  <c r="O32" i="24"/>
  <c r="L32" i="24"/>
  <c r="I32" i="24"/>
  <c r="F32" i="24"/>
  <c r="X31" i="24"/>
  <c r="U31" i="24"/>
  <c r="R31" i="24"/>
  <c r="O31" i="24"/>
  <c r="L31" i="24"/>
  <c r="I31" i="24"/>
  <c r="F31" i="24"/>
  <c r="X30" i="24"/>
  <c r="U30" i="24"/>
  <c r="R30" i="24"/>
  <c r="O30" i="24"/>
  <c r="L30" i="24"/>
  <c r="I30" i="24"/>
  <c r="F30" i="24"/>
  <c r="X29" i="24"/>
  <c r="U29" i="24"/>
  <c r="R29" i="24"/>
  <c r="O29" i="24"/>
  <c r="L29" i="24"/>
  <c r="I29" i="24"/>
  <c r="F29" i="24"/>
  <c r="X28" i="24"/>
  <c r="U28" i="24"/>
  <c r="R28" i="24"/>
  <c r="O28" i="24"/>
  <c r="L28" i="24"/>
  <c r="I28" i="24"/>
  <c r="F28" i="24"/>
  <c r="X27" i="24"/>
  <c r="U27" i="24"/>
  <c r="R27" i="24"/>
  <c r="O27" i="24"/>
  <c r="L27" i="24"/>
  <c r="I27" i="24"/>
  <c r="F27" i="24"/>
  <c r="X26" i="24"/>
  <c r="U26" i="24"/>
  <c r="R26" i="24"/>
  <c r="O26" i="24"/>
  <c r="L26" i="24"/>
  <c r="I26" i="24"/>
  <c r="F26" i="24"/>
  <c r="X25" i="24"/>
  <c r="U25" i="24"/>
  <c r="R25" i="24"/>
  <c r="O25" i="24"/>
  <c r="L25" i="24"/>
  <c r="I25" i="24"/>
  <c r="F25" i="24"/>
  <c r="X24" i="24"/>
  <c r="U24" i="24"/>
  <c r="R24" i="24"/>
  <c r="O24" i="24"/>
  <c r="L24" i="24"/>
  <c r="I24" i="24"/>
  <c r="F24" i="24"/>
  <c r="X23" i="24"/>
  <c r="U23" i="24"/>
  <c r="R23" i="24"/>
  <c r="O23" i="24"/>
  <c r="L23" i="24"/>
  <c r="I23" i="24"/>
  <c r="F23" i="24"/>
  <c r="X22" i="24"/>
  <c r="U22" i="24"/>
  <c r="R22" i="24"/>
  <c r="O22" i="24"/>
  <c r="L22" i="24"/>
  <c r="I22" i="24"/>
  <c r="F22" i="24"/>
  <c r="X21" i="24"/>
  <c r="U21" i="24"/>
  <c r="R21" i="24"/>
  <c r="O21" i="24"/>
  <c r="L21" i="24"/>
  <c r="I21" i="24"/>
  <c r="F21" i="24"/>
  <c r="O92" i="23"/>
  <c r="H92" i="23"/>
  <c r="J92" i="23" s="1"/>
  <c r="K92" i="23" s="1"/>
  <c r="O91" i="23"/>
  <c r="P91" i="23" s="1"/>
  <c r="H91" i="23"/>
  <c r="J91" i="23" s="1"/>
  <c r="K91" i="23" s="1"/>
  <c r="O90" i="23"/>
  <c r="H90" i="23"/>
  <c r="J90" i="23" s="1"/>
  <c r="K90" i="23" s="1"/>
  <c r="O89" i="23"/>
  <c r="H89" i="23"/>
  <c r="J89" i="23" s="1"/>
  <c r="K89" i="23" s="1"/>
  <c r="O88" i="23"/>
  <c r="P88" i="23" s="1"/>
  <c r="H88" i="23"/>
  <c r="J88" i="23" s="1"/>
  <c r="O87" i="23"/>
  <c r="H87" i="23"/>
  <c r="J87" i="23" s="1"/>
  <c r="K87" i="23" s="1"/>
  <c r="O86" i="23"/>
  <c r="P86" i="23" s="1"/>
  <c r="H86" i="23"/>
  <c r="J86" i="23" s="1"/>
  <c r="K86" i="23" s="1"/>
  <c r="O85" i="23"/>
  <c r="P85" i="23" s="1"/>
  <c r="H85" i="23"/>
  <c r="J85" i="23" s="1"/>
  <c r="K85" i="23" s="1"/>
  <c r="O84" i="23"/>
  <c r="P84" i="23" s="1"/>
  <c r="H84" i="23"/>
  <c r="J84" i="23" s="1"/>
  <c r="K84" i="23" s="1"/>
  <c r="O83" i="23"/>
  <c r="H83" i="23"/>
  <c r="J83" i="23" s="1"/>
  <c r="K83" i="23" s="1"/>
  <c r="O82" i="23"/>
  <c r="H82" i="23"/>
  <c r="J82" i="23" s="1"/>
  <c r="K82" i="23" s="1"/>
  <c r="O81" i="23"/>
  <c r="P81" i="23" s="1"/>
  <c r="H81" i="23"/>
  <c r="J81" i="23" s="1"/>
  <c r="K81" i="23" s="1"/>
  <c r="O77" i="23"/>
  <c r="H77" i="23"/>
  <c r="J77" i="23" s="1"/>
  <c r="K77" i="23" s="1"/>
  <c r="O76" i="23"/>
  <c r="H76" i="23"/>
  <c r="J76" i="23" s="1"/>
  <c r="K76" i="23" s="1"/>
  <c r="O75" i="23"/>
  <c r="H75" i="23"/>
  <c r="J75" i="23" s="1"/>
  <c r="K75" i="23" s="1"/>
  <c r="O74" i="23"/>
  <c r="P74" i="23" s="1"/>
  <c r="H74" i="23"/>
  <c r="J74" i="23" s="1"/>
  <c r="O73" i="23"/>
  <c r="P73" i="23" s="1"/>
  <c r="H73" i="23"/>
  <c r="J73" i="23" s="1"/>
  <c r="K73" i="23" s="1"/>
  <c r="O72" i="23"/>
  <c r="P72" i="23" s="1"/>
  <c r="H72" i="23"/>
  <c r="J72" i="23" s="1"/>
  <c r="K72" i="23" s="1"/>
  <c r="O71" i="23"/>
  <c r="H71" i="23"/>
  <c r="J71" i="23" s="1"/>
  <c r="K71" i="23" s="1"/>
  <c r="O70" i="23"/>
  <c r="P70" i="23" s="1"/>
  <c r="H70" i="23"/>
  <c r="J70" i="23" s="1"/>
  <c r="K70" i="23" s="1"/>
  <c r="O69" i="23"/>
  <c r="P69" i="23" s="1"/>
  <c r="H69" i="23"/>
  <c r="J69" i="23" s="1"/>
  <c r="O68" i="23"/>
  <c r="P68" i="23" s="1"/>
  <c r="H68" i="23"/>
  <c r="J68" i="23" s="1"/>
  <c r="K68" i="23" s="1"/>
  <c r="O67" i="23"/>
  <c r="H67" i="23"/>
  <c r="J67" i="23" s="1"/>
  <c r="K67" i="23" s="1"/>
  <c r="O66" i="23"/>
  <c r="H66" i="23"/>
  <c r="J66" i="23" s="1"/>
  <c r="K66" i="23" s="1"/>
  <c r="N62" i="23"/>
  <c r="H62" i="23"/>
  <c r="N61" i="23"/>
  <c r="H61" i="23"/>
  <c r="M60" i="23"/>
  <c r="L60" i="23"/>
  <c r="J60" i="23"/>
  <c r="H60" i="23"/>
  <c r="N59" i="23"/>
  <c r="H59" i="23"/>
  <c r="N58" i="23"/>
  <c r="H58" i="23"/>
  <c r="N57" i="23"/>
  <c r="H57" i="23"/>
  <c r="P57" i="23" s="1"/>
  <c r="N56" i="23"/>
  <c r="H56" i="23"/>
  <c r="N55" i="23"/>
  <c r="H55" i="23"/>
  <c r="N54" i="23"/>
  <c r="H54" i="23"/>
  <c r="N53" i="23"/>
  <c r="H53" i="23"/>
  <c r="N52" i="23"/>
  <c r="H52" i="23"/>
  <c r="K51" i="23"/>
  <c r="N51" i="23" s="1"/>
  <c r="H51" i="23"/>
  <c r="I47" i="23"/>
  <c r="I46" i="23"/>
  <c r="I45" i="23"/>
  <c r="I44" i="23"/>
  <c r="I43" i="23"/>
  <c r="I42" i="23"/>
  <c r="M40" i="23"/>
  <c r="M39" i="23"/>
  <c r="G32" i="23"/>
  <c r="H32" i="23" s="1"/>
  <c r="G31" i="23"/>
  <c r="H31" i="23" s="1"/>
  <c r="G30" i="23"/>
  <c r="H30" i="23" s="1"/>
  <c r="G29" i="23"/>
  <c r="H29" i="23" s="1"/>
  <c r="K28" i="23"/>
  <c r="G28" i="23"/>
  <c r="H28" i="23" s="1"/>
  <c r="K27" i="23"/>
  <c r="H27" i="23"/>
  <c r="H26" i="23"/>
  <c r="H25" i="23"/>
  <c r="H22" i="23"/>
  <c r="H21" i="23"/>
  <c r="I17" i="23"/>
  <c r="I16" i="23"/>
  <c r="J16" i="23" s="1"/>
  <c r="I15" i="23"/>
  <c r="I14" i="23"/>
  <c r="M13" i="23"/>
  <c r="I13" i="23"/>
  <c r="J13" i="23" s="1"/>
  <c r="M12" i="23"/>
  <c r="I12" i="23"/>
  <c r="J11" i="23"/>
  <c r="J9" i="23"/>
  <c r="J8" i="23"/>
  <c r="J6" i="23"/>
  <c r="G17" i="22"/>
  <c r="G16" i="22"/>
  <c r="G15" i="22"/>
  <c r="G14" i="22"/>
  <c r="C16" i="5" s="1"/>
  <c r="G13" i="22"/>
  <c r="G12" i="22"/>
  <c r="C14" i="5" s="1"/>
  <c r="G11" i="22"/>
  <c r="G10" i="22"/>
  <c r="G9" i="22"/>
  <c r="N8" i="22"/>
  <c r="N9" i="22" s="1"/>
  <c r="N12" i="22" s="1"/>
  <c r="G8" i="22"/>
  <c r="G7" i="22"/>
  <c r="G6" i="22"/>
  <c r="C8" i="5" s="1"/>
  <c r="H59" i="21"/>
  <c r="I59" i="21" s="1"/>
  <c r="H58" i="21"/>
  <c r="I58" i="21" s="1"/>
  <c r="H57" i="21"/>
  <c r="I57" i="21" s="1"/>
  <c r="H56" i="21"/>
  <c r="I56" i="21" s="1"/>
  <c r="H55" i="21"/>
  <c r="I55" i="21" s="1"/>
  <c r="H54" i="21"/>
  <c r="I54" i="21" s="1"/>
  <c r="H53" i="21"/>
  <c r="I53" i="21" s="1"/>
  <c r="H52" i="21"/>
  <c r="I52" i="21" s="1"/>
  <c r="H42" i="21"/>
  <c r="H41" i="21"/>
  <c r="H40" i="21"/>
  <c r="H39" i="21"/>
  <c r="H38" i="21"/>
  <c r="H37" i="21"/>
  <c r="J33" i="21"/>
  <c r="K33" i="21" s="1"/>
  <c r="E20" i="14" s="1"/>
  <c r="E34" i="3"/>
  <c r="C34" i="3"/>
  <c r="E33" i="3"/>
  <c r="C33" i="3"/>
  <c r="J29" i="21"/>
  <c r="K29" i="21" s="1"/>
  <c r="E16" i="14" s="1"/>
  <c r="J28" i="21"/>
  <c r="K28" i="21" s="1"/>
  <c r="E15" i="14" s="1"/>
  <c r="J27" i="21"/>
  <c r="K27" i="21" s="1"/>
  <c r="E14" i="14" s="1"/>
  <c r="J26" i="21"/>
  <c r="K26" i="21" s="1"/>
  <c r="E13" i="14" s="1"/>
  <c r="J24" i="21"/>
  <c r="K24" i="21" s="1"/>
  <c r="E11" i="14" s="1"/>
  <c r="J23" i="21"/>
  <c r="K23" i="21" s="1"/>
  <c r="E10" i="14" s="1"/>
  <c r="J22" i="21"/>
  <c r="K22" i="21" s="1"/>
  <c r="E9" i="14" s="1"/>
  <c r="F18" i="21"/>
  <c r="F17" i="21"/>
  <c r="F16" i="21"/>
  <c r="C18" i="14" s="1"/>
  <c r="F15" i="21"/>
  <c r="C17" i="14" s="1"/>
  <c r="F14" i="21"/>
  <c r="C16" i="14" s="1"/>
  <c r="F13" i="21"/>
  <c r="C15" i="14" s="1"/>
  <c r="F12" i="21"/>
  <c r="F11" i="21"/>
  <c r="F10" i="21"/>
  <c r="F9" i="21"/>
  <c r="F8" i="21"/>
  <c r="F7" i="21"/>
  <c r="AW39" i="27" l="1"/>
  <c r="D61" i="21" s="1"/>
  <c r="H61" i="21" s="1"/>
  <c r="I61" i="21" s="1"/>
  <c r="BB39" i="27"/>
  <c r="D62" i="21" s="1"/>
  <c r="H62" i="21" s="1"/>
  <c r="I62" i="21" s="1"/>
  <c r="AR39" i="27"/>
  <c r="D60" i="21" s="1"/>
  <c r="H60" i="21" s="1"/>
  <c r="I60" i="21" s="1"/>
  <c r="G16" i="5"/>
  <c r="I36" i="51"/>
  <c r="F43" i="51"/>
  <c r="I34" i="51" s="1"/>
  <c r="P28" i="25"/>
  <c r="R28" i="25" s="1"/>
  <c r="D31" i="25"/>
  <c r="E209" i="51"/>
  <c r="I195" i="51"/>
  <c r="H205" i="51"/>
  <c r="I193" i="51" s="1"/>
  <c r="N82" i="5"/>
  <c r="D73" i="15"/>
  <c r="P73" i="15" s="1"/>
  <c r="N81" i="5"/>
  <c r="J43" i="23"/>
  <c r="K16" i="14"/>
  <c r="Q57" i="23"/>
  <c r="L15" i="14"/>
  <c r="J39" i="23"/>
  <c r="K12" i="14"/>
  <c r="J45" i="23"/>
  <c r="K18" i="14"/>
  <c r="J42" i="23"/>
  <c r="K15" i="14"/>
  <c r="J38" i="23"/>
  <c r="K11" i="14"/>
  <c r="J46" i="23"/>
  <c r="K19" i="14"/>
  <c r="J37" i="23"/>
  <c r="K10" i="14"/>
  <c r="J44" i="23"/>
  <c r="K17" i="14"/>
  <c r="J40" i="23"/>
  <c r="K13" i="14"/>
  <c r="J47" i="23"/>
  <c r="K20" i="14"/>
  <c r="J36" i="23"/>
  <c r="K9" i="14"/>
  <c r="J41" i="23"/>
  <c r="K14" i="14"/>
  <c r="G11" i="21"/>
  <c r="C13" i="14"/>
  <c r="I41" i="21"/>
  <c r="K41" i="21"/>
  <c r="D13" i="14" s="1"/>
  <c r="J25" i="21"/>
  <c r="K25" i="21" s="1"/>
  <c r="E12" i="14" s="1"/>
  <c r="E27" i="3"/>
  <c r="I42" i="21"/>
  <c r="K42" i="21"/>
  <c r="D14" i="14" s="1"/>
  <c r="G18" i="21"/>
  <c r="C20" i="14"/>
  <c r="I38" i="21"/>
  <c r="K38" i="21"/>
  <c r="D10" i="14" s="1"/>
  <c r="I39" i="21"/>
  <c r="K39" i="21"/>
  <c r="D11" i="14" s="1"/>
  <c r="I40" i="21"/>
  <c r="K40" i="21"/>
  <c r="D12" i="14" s="1"/>
  <c r="G8" i="21"/>
  <c r="C10" i="14"/>
  <c r="G10" i="21"/>
  <c r="C12" i="14"/>
  <c r="J30" i="21"/>
  <c r="K30" i="21" s="1"/>
  <c r="E17" i="14" s="1"/>
  <c r="C32" i="3"/>
  <c r="G12" i="21"/>
  <c r="C14" i="14"/>
  <c r="G7" i="21"/>
  <c r="C9" i="14"/>
  <c r="G9" i="21"/>
  <c r="C11" i="14"/>
  <c r="G17" i="21"/>
  <c r="C19" i="14"/>
  <c r="I37" i="21"/>
  <c r="K37" i="21"/>
  <c r="D9" i="14" s="1"/>
  <c r="M27" i="23"/>
  <c r="J15" i="14" s="1"/>
  <c r="P61" i="23"/>
  <c r="R86" i="23"/>
  <c r="I14" i="14" s="1"/>
  <c r="R90" i="23"/>
  <c r="I18" i="14" s="1"/>
  <c r="Y32" i="24"/>
  <c r="R33" i="24"/>
  <c r="Y23" i="24"/>
  <c r="Y21" i="24"/>
  <c r="Y27" i="24"/>
  <c r="Y24" i="24"/>
  <c r="F33" i="24"/>
  <c r="I33" i="24"/>
  <c r="Y26" i="24"/>
  <c r="H17" i="22"/>
  <c r="J17" i="22" s="1"/>
  <c r="O7" i="25" s="1"/>
  <c r="C19" i="5"/>
  <c r="H13" i="22"/>
  <c r="J13" i="22" s="1"/>
  <c r="K7" i="25" s="1"/>
  <c r="C15" i="5"/>
  <c r="H8" i="22"/>
  <c r="J8" i="22" s="1"/>
  <c r="K8" i="22" s="1"/>
  <c r="G11" i="14" s="1"/>
  <c r="C10" i="5"/>
  <c r="D15" i="24"/>
  <c r="E15" i="24" s="1"/>
  <c r="G15" i="24" s="1"/>
  <c r="I15" i="24" s="1"/>
  <c r="J15" i="24" s="1"/>
  <c r="C17" i="5"/>
  <c r="D16" i="24"/>
  <c r="E16" i="24" s="1"/>
  <c r="G16" i="24" s="1"/>
  <c r="I16" i="24" s="1"/>
  <c r="J16" i="24" s="1"/>
  <c r="C18" i="5"/>
  <c r="D11" i="24"/>
  <c r="E11" i="24" s="1"/>
  <c r="G11" i="24" s="1"/>
  <c r="I11" i="24" s="1"/>
  <c r="J11" i="24" s="1"/>
  <c r="M14" i="14" s="1"/>
  <c r="C13" i="5"/>
  <c r="H9" i="22"/>
  <c r="J9" i="22" s="1"/>
  <c r="G7" i="25" s="1"/>
  <c r="C11" i="5"/>
  <c r="D10" i="24"/>
  <c r="E10" i="24" s="1"/>
  <c r="G10" i="24" s="1"/>
  <c r="I10" i="24" s="1"/>
  <c r="J10" i="24" s="1"/>
  <c r="C12" i="5"/>
  <c r="D7" i="24"/>
  <c r="E7" i="24" s="1"/>
  <c r="G7" i="24" s="1"/>
  <c r="I7" i="24" s="1"/>
  <c r="J7" i="24" s="1"/>
  <c r="M10" i="14" s="1"/>
  <c r="C9" i="5"/>
  <c r="M30" i="23"/>
  <c r="J18" i="14" s="1"/>
  <c r="M25" i="23"/>
  <c r="J13" i="14" s="1"/>
  <c r="M23" i="23"/>
  <c r="J11" i="14" s="1"/>
  <c r="Q84" i="23"/>
  <c r="R67" i="23"/>
  <c r="H10" i="14" s="1"/>
  <c r="R77" i="23"/>
  <c r="H20" i="14" s="1"/>
  <c r="P55" i="23"/>
  <c r="P59" i="23"/>
  <c r="P62" i="23"/>
  <c r="P52" i="23"/>
  <c r="H23" i="23"/>
  <c r="Q72" i="23"/>
  <c r="R88" i="23"/>
  <c r="I16" i="14" s="1"/>
  <c r="M31" i="23"/>
  <c r="J19" i="14" s="1"/>
  <c r="P54" i="23"/>
  <c r="P58" i="23"/>
  <c r="R85" i="23"/>
  <c r="I13" i="14" s="1"/>
  <c r="Q91" i="23"/>
  <c r="P67" i="23"/>
  <c r="Q67" i="23" s="1"/>
  <c r="P77" i="23"/>
  <c r="Q77" i="23" s="1"/>
  <c r="M28" i="23"/>
  <c r="J16" i="14" s="1"/>
  <c r="P53" i="23"/>
  <c r="J15" i="23"/>
  <c r="J12" i="23"/>
  <c r="M32" i="23"/>
  <c r="J20" i="14" s="1"/>
  <c r="Q73" i="23"/>
  <c r="Q81" i="23"/>
  <c r="Q85" i="23"/>
  <c r="R71" i="23"/>
  <c r="H14" i="14" s="1"/>
  <c r="R73" i="23"/>
  <c r="H16" i="14" s="1"/>
  <c r="Q86" i="23"/>
  <c r="P90" i="23"/>
  <c r="Q90" i="23" s="1"/>
  <c r="P51" i="23"/>
  <c r="R66" i="23"/>
  <c r="H9" i="14" s="1"/>
  <c r="P71" i="23"/>
  <c r="Q71" i="23" s="1"/>
  <c r="R76" i="23"/>
  <c r="H19" i="14" s="1"/>
  <c r="D9" i="24"/>
  <c r="E9" i="24" s="1"/>
  <c r="G9" i="24" s="1"/>
  <c r="I9" i="24" s="1"/>
  <c r="J9" i="24" s="1"/>
  <c r="H15" i="22"/>
  <c r="J15" i="22" s="1"/>
  <c r="H7" i="22"/>
  <c r="J7" i="22" s="1"/>
  <c r="E7" i="25" s="1"/>
  <c r="H11" i="22"/>
  <c r="J11" i="22" s="1"/>
  <c r="K11" i="22" s="1"/>
  <c r="G14" i="14" s="1"/>
  <c r="D13" i="24"/>
  <c r="E13" i="24" s="1"/>
  <c r="G13" i="24" s="1"/>
  <c r="I13" i="24" s="1"/>
  <c r="J13" i="24" s="1"/>
  <c r="AH35" i="26"/>
  <c r="AH38" i="26" s="1"/>
  <c r="D43" i="21" s="1"/>
  <c r="H43" i="21" s="1"/>
  <c r="I43" i="21" s="1"/>
  <c r="AM35" i="26"/>
  <c r="AM38" i="26" s="1"/>
  <c r="D44" i="21" s="1"/>
  <c r="H44" i="21" s="1"/>
  <c r="K44" i="21" s="1"/>
  <c r="D16" i="14" s="1"/>
  <c r="J31" i="21"/>
  <c r="K31" i="21" s="1"/>
  <c r="E18" i="14" s="1"/>
  <c r="J32" i="21"/>
  <c r="K32" i="21" s="1"/>
  <c r="D67" i="21"/>
  <c r="E67" i="21" s="1"/>
  <c r="D6" i="25" s="1"/>
  <c r="D78" i="21"/>
  <c r="E78" i="21" s="1"/>
  <c r="O6" i="25" s="1"/>
  <c r="K48" i="21"/>
  <c r="D20" i="14" s="1"/>
  <c r="D72" i="21"/>
  <c r="E72" i="21" s="1"/>
  <c r="I6" i="25" s="1"/>
  <c r="K45" i="21"/>
  <c r="D17" i="14" s="1"/>
  <c r="D71" i="21"/>
  <c r="E71" i="21" s="1"/>
  <c r="H6" i="25" s="1"/>
  <c r="K46" i="21"/>
  <c r="D18" i="14" s="1"/>
  <c r="D68" i="21"/>
  <c r="E68" i="21" s="1"/>
  <c r="E6" i="25" s="1"/>
  <c r="D69" i="21"/>
  <c r="E69" i="21" s="1"/>
  <c r="F6" i="25" s="1"/>
  <c r="R69" i="23"/>
  <c r="H12" i="14" s="1"/>
  <c r="K69" i="23"/>
  <c r="Q69" i="23" s="1"/>
  <c r="I46" i="21"/>
  <c r="H16" i="22"/>
  <c r="J16" i="22" s="1"/>
  <c r="J17" i="23"/>
  <c r="P75" i="23"/>
  <c r="Q75" i="23" s="1"/>
  <c r="R75" i="23"/>
  <c r="H18" i="14" s="1"/>
  <c r="R82" i="23"/>
  <c r="I10" i="14" s="1"/>
  <c r="K88" i="23"/>
  <c r="Q88" i="23" s="1"/>
  <c r="N60" i="23"/>
  <c r="P60" i="23" s="1"/>
  <c r="G13" i="21"/>
  <c r="K9" i="22"/>
  <c r="G12" i="14" s="1"/>
  <c r="M21" i="23"/>
  <c r="J9" i="14" s="1"/>
  <c r="J10" i="23"/>
  <c r="M29" i="23"/>
  <c r="J17" i="14" s="1"/>
  <c r="J14" i="23"/>
  <c r="R92" i="23"/>
  <c r="I20" i="14" s="1"/>
  <c r="X33" i="24"/>
  <c r="U33" i="24"/>
  <c r="Y25" i="24"/>
  <c r="F7" i="25"/>
  <c r="G14" i="21"/>
  <c r="D14" i="24"/>
  <c r="E14" i="24" s="1"/>
  <c r="G14" i="24" s="1"/>
  <c r="I14" i="24" s="1"/>
  <c r="J14" i="24" s="1"/>
  <c r="M17" i="14" s="1"/>
  <c r="H14" i="22"/>
  <c r="J14" i="22" s="1"/>
  <c r="K7" i="22"/>
  <c r="G10" i="14" s="1"/>
  <c r="R74" i="23"/>
  <c r="H17" i="14" s="1"/>
  <c r="K74" i="23"/>
  <c r="Q74" i="23" s="1"/>
  <c r="P76" i="23"/>
  <c r="Q76" i="23" s="1"/>
  <c r="R83" i="23"/>
  <c r="I11" i="14" s="1"/>
  <c r="P83" i="23"/>
  <c r="Q83" i="23" s="1"/>
  <c r="Y31" i="24"/>
  <c r="D12" i="24"/>
  <c r="E12" i="24" s="1"/>
  <c r="G12" i="24" s="1"/>
  <c r="I12" i="24" s="1"/>
  <c r="J12" i="24" s="1"/>
  <c r="M15" i="14" s="1"/>
  <c r="H12" i="22"/>
  <c r="J12" i="22" s="1"/>
  <c r="M26" i="23"/>
  <c r="J14" i="14" s="1"/>
  <c r="Q68" i="23"/>
  <c r="R81" i="23"/>
  <c r="I9" i="14" s="1"/>
  <c r="R87" i="23"/>
  <c r="I15" i="14" s="1"/>
  <c r="D75" i="21"/>
  <c r="E75" i="21" s="1"/>
  <c r="L6" i="25" s="1"/>
  <c r="M22" i="23"/>
  <c r="J10" i="14" s="1"/>
  <c r="J7" i="23"/>
  <c r="D76" i="21"/>
  <c r="E76" i="21" s="1"/>
  <c r="M6" i="25" s="1"/>
  <c r="M24" i="23"/>
  <c r="J12" i="14" s="1"/>
  <c r="H24" i="23"/>
  <c r="P56" i="23"/>
  <c r="P66" i="23"/>
  <c r="Q66" i="23" s="1"/>
  <c r="R68" i="23"/>
  <c r="H11" i="14" s="1"/>
  <c r="Q70" i="23"/>
  <c r="R84" i="23"/>
  <c r="I12" i="14" s="1"/>
  <c r="P89" i="23"/>
  <c r="Q89" i="23" s="1"/>
  <c r="R89" i="23"/>
  <c r="I17" i="14" s="1"/>
  <c r="L33" i="24"/>
  <c r="Y29" i="24"/>
  <c r="O33" i="24"/>
  <c r="G15" i="21"/>
  <c r="K47" i="21"/>
  <c r="D19" i="14" s="1"/>
  <c r="D6" i="24"/>
  <c r="E6" i="24" s="1"/>
  <c r="G6" i="24" s="1"/>
  <c r="I6" i="24" s="1"/>
  <c r="J6" i="24" s="1"/>
  <c r="M9" i="14" s="1"/>
  <c r="H6" i="22"/>
  <c r="J6" i="22" s="1"/>
  <c r="H10" i="22"/>
  <c r="J10" i="22" s="1"/>
  <c r="P87" i="23"/>
  <c r="Q87" i="23" s="1"/>
  <c r="P92" i="23"/>
  <c r="Q92" i="23" s="1"/>
  <c r="D8" i="24"/>
  <c r="E8" i="24" s="1"/>
  <c r="G8" i="24" s="1"/>
  <c r="I8" i="24" s="1"/>
  <c r="J8" i="24" s="1"/>
  <c r="M11" i="14" s="1"/>
  <c r="D17" i="24"/>
  <c r="E17" i="24" s="1"/>
  <c r="G17" i="24" s="1"/>
  <c r="I17" i="24" s="1"/>
  <c r="J17" i="24" s="1"/>
  <c r="M20" i="14" s="1"/>
  <c r="R70" i="23"/>
  <c r="H13" i="14" s="1"/>
  <c r="P82" i="23"/>
  <c r="Q82" i="23" s="1"/>
  <c r="R91" i="23"/>
  <c r="I19" i="14" s="1"/>
  <c r="Y28" i="24"/>
  <c r="Y30" i="24"/>
  <c r="G16" i="21"/>
  <c r="Y22" i="24"/>
  <c r="R72" i="23"/>
  <c r="H15" i="14" s="1"/>
  <c r="K7" i="24" l="1"/>
  <c r="Q54" i="23"/>
  <c r="L12" i="14"/>
  <c r="Q53" i="23"/>
  <c r="L11" i="14"/>
  <c r="Q56" i="23"/>
  <c r="E102" i="23" s="1"/>
  <c r="I8" i="25" s="1"/>
  <c r="L14" i="14"/>
  <c r="Q61" i="23"/>
  <c r="E107" i="23" s="1"/>
  <c r="D107" i="23" s="1"/>
  <c r="L19" i="14"/>
  <c r="Q55" i="23"/>
  <c r="L13" i="14"/>
  <c r="Q52" i="23"/>
  <c r="L10" i="14"/>
  <c r="Q62" i="23"/>
  <c r="E108" i="23" s="1"/>
  <c r="L20" i="14"/>
  <c r="Q60" i="23"/>
  <c r="E106" i="23" s="1"/>
  <c r="M8" i="25" s="1"/>
  <c r="L18" i="14"/>
  <c r="Q51" i="23"/>
  <c r="L9" i="14"/>
  <c r="Q58" i="23"/>
  <c r="L16" i="14"/>
  <c r="Q59" i="23"/>
  <c r="L17" i="14"/>
  <c r="K13" i="24"/>
  <c r="M16" i="14"/>
  <c r="K16" i="24"/>
  <c r="M19" i="14"/>
  <c r="K15" i="24"/>
  <c r="M18" i="14"/>
  <c r="K10" i="24"/>
  <c r="M13" i="14"/>
  <c r="K13" i="22"/>
  <c r="G16" i="14" s="1"/>
  <c r="K9" i="24"/>
  <c r="M12" i="14"/>
  <c r="D70" i="21"/>
  <c r="E70" i="21" s="1"/>
  <c r="G6" i="25" s="1"/>
  <c r="Z21" i="24"/>
  <c r="N9" i="14"/>
  <c r="Z23" i="24"/>
  <c r="N11" i="14"/>
  <c r="Z22" i="24"/>
  <c r="N10" i="14"/>
  <c r="Z26" i="24"/>
  <c r="N14" i="14"/>
  <c r="Z32" i="24"/>
  <c r="N20" i="14"/>
  <c r="Z29" i="24"/>
  <c r="N17" i="14"/>
  <c r="Z25" i="24"/>
  <c r="N13" i="14"/>
  <c r="Z31" i="24"/>
  <c r="N19" i="14"/>
  <c r="Z28" i="24"/>
  <c r="N16" i="14"/>
  <c r="Z24" i="24"/>
  <c r="N12" i="14"/>
  <c r="Z30" i="24"/>
  <c r="N18" i="14"/>
  <c r="Z27" i="24"/>
  <c r="N15" i="14"/>
  <c r="D77" i="21"/>
  <c r="E77" i="21" s="1"/>
  <c r="N6" i="25" s="1"/>
  <c r="E19" i="14"/>
  <c r="D42" i="24"/>
  <c r="E42" i="24" s="1"/>
  <c r="D47" i="24"/>
  <c r="E47" i="24" s="1"/>
  <c r="K17" i="22"/>
  <c r="G20" i="14" s="1"/>
  <c r="I7" i="25"/>
  <c r="K11" i="24"/>
  <c r="E97" i="23"/>
  <c r="D97" i="23" s="1"/>
  <c r="E99" i="23"/>
  <c r="F8" i="25" s="1"/>
  <c r="E104" i="23"/>
  <c r="K8" i="25" s="1"/>
  <c r="E100" i="23"/>
  <c r="G8" i="25" s="1"/>
  <c r="E98" i="23"/>
  <c r="E8" i="25" s="1"/>
  <c r="E103" i="23"/>
  <c r="J8" i="25" s="1"/>
  <c r="D40" i="24"/>
  <c r="E40" i="24" s="1"/>
  <c r="M7" i="25"/>
  <c r="K15" i="22"/>
  <c r="G18" i="14" s="1"/>
  <c r="D74" i="21"/>
  <c r="E74" i="21" s="1"/>
  <c r="K6" i="25" s="1"/>
  <c r="I44" i="21"/>
  <c r="K43" i="21"/>
  <c r="D15" i="14" s="1"/>
  <c r="D73" i="21"/>
  <c r="E73" i="21" s="1"/>
  <c r="J6" i="25" s="1"/>
  <c r="D8" i="25"/>
  <c r="K10" i="22"/>
  <c r="G13" i="14" s="1"/>
  <c r="H7" i="25"/>
  <c r="K12" i="24"/>
  <c r="D43" i="24"/>
  <c r="K12" i="22"/>
  <c r="G15" i="14" s="1"/>
  <c r="J7" i="25"/>
  <c r="Y33" i="24"/>
  <c r="D37" i="24"/>
  <c r="K6" i="24"/>
  <c r="L7" i="25"/>
  <c r="K14" i="22"/>
  <c r="G17" i="14" s="1"/>
  <c r="N7" i="25"/>
  <c r="K16" i="22"/>
  <c r="G19" i="14" s="1"/>
  <c r="D44" i="24"/>
  <c r="D45" i="24"/>
  <c r="K14" i="24"/>
  <c r="D38" i="24"/>
  <c r="K6" i="22"/>
  <c r="G9" i="14" s="1"/>
  <c r="D7" i="25"/>
  <c r="D48" i="24"/>
  <c r="K17" i="24"/>
  <c r="E105" i="23"/>
  <c r="K8" i="24"/>
  <c r="D39" i="24"/>
  <c r="D41" i="24"/>
  <c r="D46" i="24"/>
  <c r="E101" i="23"/>
  <c r="Z33" i="24" l="1"/>
  <c r="G47" i="24"/>
  <c r="D104" i="23"/>
  <c r="G44" i="24" s="1"/>
  <c r="D99" i="23"/>
  <c r="D100" i="23"/>
  <c r="G40" i="24" s="1"/>
  <c r="D102" i="23"/>
  <c r="G42" i="24" s="1"/>
  <c r="D98" i="23"/>
  <c r="G38" i="24" s="1"/>
  <c r="N8" i="25"/>
  <c r="D106" i="23"/>
  <c r="G46" i="24" s="1"/>
  <c r="D103" i="23"/>
  <c r="G43" i="24" s="1"/>
  <c r="P6" i="25"/>
  <c r="D105" i="23"/>
  <c r="G45" i="24" s="1"/>
  <c r="L8" i="25"/>
  <c r="D101" i="23"/>
  <c r="G41" i="24" s="1"/>
  <c r="H8" i="25"/>
  <c r="I9" i="25"/>
  <c r="I10" i="25" s="1"/>
  <c r="I11" i="25" s="1"/>
  <c r="I14" i="25" s="1"/>
  <c r="H42" i="24"/>
  <c r="D108" i="23"/>
  <c r="G48" i="24" s="1"/>
  <c r="O8" i="25"/>
  <c r="G39" i="24"/>
  <c r="E39" i="24"/>
  <c r="E38" i="24"/>
  <c r="P7" i="25"/>
  <c r="E45" i="24"/>
  <c r="G37" i="24"/>
  <c r="D49" i="24"/>
  <c r="E49" i="24" s="1"/>
  <c r="E37" i="24"/>
  <c r="E46" i="24"/>
  <c r="H40" i="24"/>
  <c r="G9" i="25"/>
  <c r="G10" i="25" s="1"/>
  <c r="G11" i="25" s="1"/>
  <c r="G14" i="25" s="1"/>
  <c r="E48" i="24"/>
  <c r="E41" i="24"/>
  <c r="E44" i="24"/>
  <c r="H47" i="24"/>
  <c r="N9" i="25"/>
  <c r="E43" i="24"/>
  <c r="N10" i="25" l="1"/>
  <c r="N11" i="25" s="1"/>
  <c r="N14" i="25" s="1"/>
  <c r="P8" i="25"/>
  <c r="D9" i="25"/>
  <c r="H37" i="24"/>
  <c r="L9" i="25"/>
  <c r="L10" i="25" s="1"/>
  <c r="L11" i="25" s="1"/>
  <c r="L14" i="25" s="1"/>
  <c r="H45" i="24"/>
  <c r="K9" i="25"/>
  <c r="K10" i="25" s="1"/>
  <c r="K11" i="25" s="1"/>
  <c r="K14" i="25" s="1"/>
  <c r="H44" i="24"/>
  <c r="M9" i="25"/>
  <c r="M10" i="25" s="1"/>
  <c r="M11" i="25" s="1"/>
  <c r="M14" i="25" s="1"/>
  <c r="H46" i="24"/>
  <c r="H39" i="24"/>
  <c r="F9" i="25"/>
  <c r="F10" i="25" s="1"/>
  <c r="F11" i="25" s="1"/>
  <c r="F14" i="25" s="1"/>
  <c r="J9" i="25"/>
  <c r="J10" i="25" s="1"/>
  <c r="J11" i="25" s="1"/>
  <c r="J14" i="25" s="1"/>
  <c r="H43" i="24"/>
  <c r="O9" i="25"/>
  <c r="O10" i="25" s="1"/>
  <c r="O11" i="25" s="1"/>
  <c r="O14" i="25" s="1"/>
  <c r="H48" i="24"/>
  <c r="G49" i="24"/>
  <c r="E9" i="25"/>
  <c r="E10" i="25" s="1"/>
  <c r="E11" i="25" s="1"/>
  <c r="E14" i="25" s="1"/>
  <c r="H38" i="24"/>
  <c r="H41" i="24"/>
  <c r="H9" i="25"/>
  <c r="H10" i="25" s="1"/>
  <c r="H11" i="25" s="1"/>
  <c r="H14" i="25" s="1"/>
  <c r="H49" i="24" l="1"/>
  <c r="P9" i="25"/>
  <c r="D10" i="25"/>
  <c r="P10" i="25" l="1"/>
  <c r="R10" i="25" s="1"/>
  <c r="D11" i="25"/>
  <c r="P11" i="25" l="1"/>
  <c r="R11" i="25" s="1"/>
  <c r="D14" i="25"/>
  <c r="X12" i="11" l="1"/>
  <c r="L53" i="6" l="1"/>
  <c r="J53" i="6"/>
  <c r="F53" i="6"/>
  <c r="E53" i="6"/>
  <c r="D53" i="6"/>
  <c r="C53" i="6"/>
  <c r="M53" i="6" l="1"/>
  <c r="N37" i="2"/>
  <c r="K37" i="5" l="1"/>
  <c r="V12" i="11" l="1"/>
  <c r="V7" i="11"/>
  <c r="K36" i="5" l="1"/>
  <c r="M24" i="11" l="1"/>
  <c r="L24" i="11"/>
  <c r="C52" i="6" l="1"/>
  <c r="D52" i="6"/>
  <c r="E52" i="6"/>
  <c r="F52" i="6"/>
  <c r="J52" i="6"/>
  <c r="L52" i="6"/>
  <c r="J16" i="2" l="1"/>
  <c r="L51" i="6" l="1"/>
  <c r="J51" i="6"/>
  <c r="F51" i="6"/>
  <c r="E51" i="6"/>
  <c r="D51" i="6"/>
  <c r="C51" i="6"/>
  <c r="T12" i="11" l="1"/>
  <c r="T7" i="11"/>
  <c r="R7" i="11" l="1"/>
  <c r="C50" i="6" l="1"/>
  <c r="D50" i="6"/>
  <c r="E50" i="6"/>
  <c r="F50" i="6"/>
  <c r="J50" i="6"/>
  <c r="L50" i="6"/>
  <c r="F34" i="2" l="1"/>
  <c r="L44" i="6"/>
  <c r="L45" i="6"/>
  <c r="L46" i="6"/>
  <c r="L47" i="6"/>
  <c r="L48" i="6"/>
  <c r="L49" i="6"/>
  <c r="L43" i="6"/>
  <c r="J45" i="6"/>
  <c r="J46" i="6"/>
  <c r="J47" i="6"/>
  <c r="J48" i="6"/>
  <c r="J49" i="6"/>
  <c r="J44" i="6"/>
  <c r="J43" i="6"/>
  <c r="F45" i="6"/>
  <c r="F46" i="6"/>
  <c r="F47" i="6"/>
  <c r="F48" i="6"/>
  <c r="F49" i="6"/>
  <c r="F44" i="6"/>
  <c r="F43" i="6"/>
  <c r="E45" i="6"/>
  <c r="E46" i="6"/>
  <c r="E47" i="6"/>
  <c r="E48" i="6"/>
  <c r="E49" i="6"/>
  <c r="E44" i="6"/>
  <c r="E43" i="6"/>
  <c r="D45" i="6"/>
  <c r="D46" i="6"/>
  <c r="D47" i="6"/>
  <c r="D48" i="6"/>
  <c r="D49" i="6"/>
  <c r="D44" i="6"/>
  <c r="D43" i="6"/>
  <c r="C45" i="6"/>
  <c r="C46" i="6"/>
  <c r="C47" i="6"/>
  <c r="C48" i="6"/>
  <c r="C49" i="6"/>
  <c r="C44" i="6"/>
  <c r="C43" i="6"/>
  <c r="P7" i="11" l="1"/>
  <c r="H69" i="10" l="1"/>
  <c r="H24" i="10"/>
  <c r="H15" i="10"/>
  <c r="L12" i="4" l="1"/>
  <c r="L11" i="4"/>
  <c r="N32" i="2" l="1"/>
  <c r="N7" i="11" l="1"/>
  <c r="L7" i="11" l="1"/>
  <c r="J7" i="11"/>
  <c r="H7" i="11"/>
  <c r="F7" i="11"/>
  <c r="D7" i="11"/>
  <c r="F46" i="11" l="1"/>
  <c r="J10" i="2"/>
  <c r="N24" i="11" l="1"/>
  <c r="K24" i="11"/>
  <c r="J24" i="11"/>
  <c r="I24" i="11"/>
  <c r="H24" i="11"/>
  <c r="G24" i="11"/>
  <c r="F24" i="11"/>
  <c r="E24" i="11"/>
  <c r="D24" i="11"/>
  <c r="C24" i="11"/>
  <c r="N23" i="11"/>
  <c r="M23" i="11"/>
  <c r="L23" i="11"/>
  <c r="K23" i="11"/>
  <c r="J23" i="11"/>
  <c r="I23" i="11"/>
  <c r="H23" i="11"/>
  <c r="G23" i="11"/>
  <c r="F23" i="11"/>
  <c r="E23" i="11"/>
  <c r="D23" i="11"/>
  <c r="C23" i="11"/>
  <c r="C46" i="11" l="1"/>
  <c r="C53" i="11"/>
  <c r="C47" i="11"/>
  <c r="C54" i="11"/>
  <c r="C45" i="11"/>
  <c r="E34" i="11"/>
  <c r="D34" i="11"/>
  <c r="C34" i="11"/>
  <c r="I9" i="9"/>
  <c r="E49" i="2" l="1"/>
  <c r="H7" i="8" l="1"/>
  <c r="P7" i="9" l="1"/>
  <c r="R5" i="44"/>
  <c r="O9" i="14"/>
  <c r="U5" i="44" l="1"/>
  <c r="J27" i="5"/>
  <c r="L7" i="2" l="1"/>
  <c r="D16" i="15" l="1"/>
  <c r="D20" i="15"/>
  <c r="D25" i="15"/>
  <c r="D29" i="15"/>
  <c r="D33" i="15"/>
  <c r="D39" i="15"/>
  <c r="H21" i="17" l="1"/>
  <c r="D21" i="17"/>
  <c r="C21" i="17"/>
  <c r="H20" i="17"/>
  <c r="D20" i="17"/>
  <c r="C20" i="17"/>
  <c r="J19" i="17"/>
  <c r="I19" i="17"/>
  <c r="L19" i="17" s="1"/>
  <c r="O7" i="15" s="1"/>
  <c r="J18" i="17"/>
  <c r="I18" i="17"/>
  <c r="L18" i="17" s="1"/>
  <c r="N7" i="15" s="1"/>
  <c r="J17" i="17"/>
  <c r="I17" i="17" s="1"/>
  <c r="L17" i="17" s="1"/>
  <c r="M7" i="15" s="1"/>
  <c r="J16" i="17"/>
  <c r="I16" i="17" s="1"/>
  <c r="L16" i="17" s="1"/>
  <c r="L7" i="15" s="1"/>
  <c r="J15" i="17"/>
  <c r="I15" i="17" s="1"/>
  <c r="L15" i="17" s="1"/>
  <c r="K7" i="15" s="1"/>
  <c r="J14" i="17"/>
  <c r="I14" i="17" s="1"/>
  <c r="L14" i="17" s="1"/>
  <c r="J7" i="15" s="1"/>
  <c r="J13" i="17"/>
  <c r="I13" i="17" s="1"/>
  <c r="L13" i="17" s="1"/>
  <c r="I7" i="15" s="1"/>
  <c r="J12" i="17"/>
  <c r="I12" i="17" s="1"/>
  <c r="L12" i="17" s="1"/>
  <c r="H7" i="15" s="1"/>
  <c r="J11" i="17"/>
  <c r="I11" i="17" s="1"/>
  <c r="L11" i="17" s="1"/>
  <c r="G7" i="15" s="1"/>
  <c r="J10" i="17"/>
  <c r="I10" i="17" s="1"/>
  <c r="L10" i="17" s="1"/>
  <c r="F7" i="15" s="1"/>
  <c r="J9" i="17"/>
  <c r="I9" i="17" s="1"/>
  <c r="L9" i="17" s="1"/>
  <c r="E7" i="15" s="1"/>
  <c r="J8" i="17"/>
  <c r="J21" i="17" s="1"/>
  <c r="I72" i="15" l="1"/>
  <c r="I65" i="15"/>
  <c r="I67" i="15"/>
  <c r="I70" i="15"/>
  <c r="I86" i="15"/>
  <c r="I61" i="15"/>
  <c r="I74" i="15"/>
  <c r="J72" i="15"/>
  <c r="J74" i="15"/>
  <c r="J65" i="15"/>
  <c r="J86" i="15"/>
  <c r="J67" i="15"/>
  <c r="J70" i="15"/>
  <c r="J61" i="15"/>
  <c r="H74" i="15"/>
  <c r="H86" i="15"/>
  <c r="H70" i="15"/>
  <c r="H78" i="15"/>
  <c r="H67" i="15"/>
  <c r="H65" i="15"/>
  <c r="H61" i="15"/>
  <c r="H72" i="15"/>
  <c r="E65" i="15"/>
  <c r="E67" i="15"/>
  <c r="E74" i="15"/>
  <c r="E72" i="15"/>
  <c r="E61" i="15"/>
  <c r="E86" i="15"/>
  <c r="E78" i="15"/>
  <c r="E70" i="15"/>
  <c r="O65" i="15"/>
  <c r="O70" i="15"/>
  <c r="O86" i="15"/>
  <c r="O72" i="15"/>
  <c r="O74" i="15"/>
  <c r="O78" i="15"/>
  <c r="O67" i="15"/>
  <c r="O61" i="15"/>
  <c r="K61" i="15"/>
  <c r="K78" i="15"/>
  <c r="K65" i="15"/>
  <c r="K74" i="15"/>
  <c r="K67" i="15"/>
  <c r="K86" i="15"/>
  <c r="K72" i="15"/>
  <c r="K70" i="15"/>
  <c r="L74" i="15"/>
  <c r="L61" i="15"/>
  <c r="L67" i="15"/>
  <c r="L65" i="15"/>
  <c r="L78" i="15"/>
  <c r="L70" i="15"/>
  <c r="L72" i="15"/>
  <c r="L86" i="15"/>
  <c r="M72" i="15"/>
  <c r="M67" i="15"/>
  <c r="M78" i="15"/>
  <c r="M70" i="15"/>
  <c r="M74" i="15"/>
  <c r="M86" i="15"/>
  <c r="M61" i="15"/>
  <c r="M65" i="15"/>
  <c r="F86" i="15"/>
  <c r="F61" i="15"/>
  <c r="F67" i="15"/>
  <c r="F72" i="15"/>
  <c r="F74" i="15"/>
  <c r="F78" i="15"/>
  <c r="F70" i="15"/>
  <c r="F65" i="15"/>
  <c r="N86" i="15"/>
  <c r="N72" i="15"/>
  <c r="N65" i="15"/>
  <c r="N70" i="15"/>
  <c r="N67" i="15"/>
  <c r="N74" i="15"/>
  <c r="N61" i="15"/>
  <c r="N78" i="15"/>
  <c r="G72" i="15"/>
  <c r="G70" i="15"/>
  <c r="G74" i="15"/>
  <c r="G67" i="15"/>
  <c r="G78" i="15"/>
  <c r="G61" i="15"/>
  <c r="G86" i="15"/>
  <c r="G65" i="15"/>
  <c r="I8" i="17"/>
  <c r="L8" i="17" s="1"/>
  <c r="D7" i="15" s="1"/>
  <c r="J20" i="17"/>
  <c r="S7" i="9"/>
  <c r="I7" i="9"/>
  <c r="I19" i="8"/>
  <c r="Q15" i="6"/>
  <c r="Q14" i="6"/>
  <c r="Q13" i="6"/>
  <c r="Q12" i="6"/>
  <c r="Q11" i="6"/>
  <c r="Q10" i="6"/>
  <c r="Q9" i="6"/>
  <c r="Q8" i="6"/>
  <c r="Q7" i="6"/>
  <c r="D74" i="15" l="1"/>
  <c r="D61" i="15"/>
  <c r="D65" i="15"/>
  <c r="D72" i="15"/>
  <c r="D78" i="15"/>
  <c r="D70" i="15"/>
  <c r="D86" i="15"/>
  <c r="D67" i="15"/>
  <c r="L20" i="17"/>
  <c r="L21" i="17"/>
  <c r="I21" i="17"/>
  <c r="I20" i="17"/>
  <c r="D20" i="11"/>
  <c r="F24" i="10"/>
  <c r="E14" i="5"/>
  <c r="M46" i="6"/>
  <c r="E39" i="9"/>
  <c r="D39" i="9"/>
  <c r="H11" i="7"/>
  <c r="F36" i="15" s="1"/>
  <c r="E11" i="5"/>
  <c r="X60" i="2"/>
  <c r="W60" i="2"/>
  <c r="R86" i="2"/>
  <c r="Y50" i="2"/>
  <c r="V60" i="2"/>
  <c r="AD27" i="2"/>
  <c r="J7" i="2"/>
  <c r="D9" i="15" s="1"/>
  <c r="C19" i="2"/>
  <c r="J18" i="2" l="1"/>
  <c r="J17" i="2"/>
  <c r="J15" i="2"/>
  <c r="J14" i="2"/>
  <c r="J12" i="2"/>
  <c r="J11" i="2"/>
  <c r="J9" i="2"/>
  <c r="J8" i="2"/>
  <c r="Q9" i="7"/>
  <c r="O20" i="5"/>
  <c r="P20" i="5"/>
  <c r="Q20" i="5"/>
  <c r="R20" i="5"/>
  <c r="S20" i="5"/>
  <c r="O21" i="5"/>
  <c r="P21" i="5"/>
  <c r="Q21" i="5"/>
  <c r="R21" i="5"/>
  <c r="S21" i="5"/>
  <c r="L38" i="5"/>
  <c r="K38" i="5"/>
  <c r="J38" i="5"/>
  <c r="L37" i="5"/>
  <c r="J37" i="5"/>
  <c r="L36" i="5"/>
  <c r="J36" i="5"/>
  <c r="L35" i="5"/>
  <c r="K35" i="5"/>
  <c r="J35" i="5"/>
  <c r="L34" i="5"/>
  <c r="K34" i="5"/>
  <c r="J34" i="5"/>
  <c r="L33" i="5"/>
  <c r="K33" i="5"/>
  <c r="J33" i="5"/>
  <c r="L32" i="5"/>
  <c r="K32" i="5"/>
  <c r="J32" i="5"/>
  <c r="L31" i="5"/>
  <c r="K31" i="5"/>
  <c r="J31" i="5"/>
  <c r="L30" i="5"/>
  <c r="K30" i="5"/>
  <c r="J30" i="5"/>
  <c r="L29" i="5"/>
  <c r="K29" i="5"/>
  <c r="J29" i="5"/>
  <c r="L28" i="5"/>
  <c r="K28" i="5"/>
  <c r="J28" i="5"/>
  <c r="K27" i="5"/>
  <c r="H18" i="8"/>
  <c r="R16" i="44" s="1"/>
  <c r="U16" i="44" s="1"/>
  <c r="H17" i="8"/>
  <c r="R15" i="44" s="1"/>
  <c r="U15" i="44" s="1"/>
  <c r="H16" i="8"/>
  <c r="R14" i="44" s="1"/>
  <c r="U14" i="44" s="1"/>
  <c r="H15" i="8"/>
  <c r="R13" i="44" s="1"/>
  <c r="U13" i="44" s="1"/>
  <c r="H14" i="8"/>
  <c r="R12" i="44" s="1"/>
  <c r="U12" i="44" s="1"/>
  <c r="H13" i="8"/>
  <c r="R11" i="44" s="1"/>
  <c r="U11" i="44" s="1"/>
  <c r="H12" i="8"/>
  <c r="H11" i="8"/>
  <c r="H10" i="8"/>
  <c r="H9" i="8"/>
  <c r="R7" i="44" s="1"/>
  <c r="U7" i="44" s="1"/>
  <c r="H8" i="8"/>
  <c r="J7" i="8"/>
  <c r="Q16" i="15"/>
  <c r="F39" i="15"/>
  <c r="O39" i="15"/>
  <c r="N39" i="15"/>
  <c r="M39" i="15"/>
  <c r="L39" i="15"/>
  <c r="K39" i="15"/>
  <c r="J39" i="15"/>
  <c r="I39" i="15"/>
  <c r="H39" i="15"/>
  <c r="G39" i="15"/>
  <c r="E39" i="15"/>
  <c r="O33" i="15"/>
  <c r="N33" i="15"/>
  <c r="M33" i="15"/>
  <c r="L33" i="15"/>
  <c r="K33" i="15"/>
  <c r="J33" i="15"/>
  <c r="I33" i="15"/>
  <c r="H33" i="15"/>
  <c r="G33" i="15"/>
  <c r="F33" i="15"/>
  <c r="E33" i="15"/>
  <c r="O29" i="15"/>
  <c r="N29" i="15"/>
  <c r="M29" i="15"/>
  <c r="L29" i="15"/>
  <c r="K29" i="15"/>
  <c r="J29" i="15"/>
  <c r="I29" i="15"/>
  <c r="H29" i="15"/>
  <c r="G29" i="15"/>
  <c r="F29" i="15"/>
  <c r="E29" i="15"/>
  <c r="I38" i="5"/>
  <c r="I37" i="5"/>
  <c r="I36" i="5"/>
  <c r="I35" i="5"/>
  <c r="I34" i="5"/>
  <c r="I33" i="5"/>
  <c r="I32" i="5"/>
  <c r="I31" i="5"/>
  <c r="I30" i="5"/>
  <c r="I29" i="5"/>
  <c r="I28" i="5"/>
  <c r="L27" i="5"/>
  <c r="I27" i="5"/>
  <c r="O25" i="15"/>
  <c r="N25" i="15"/>
  <c r="M25" i="15"/>
  <c r="L25" i="15"/>
  <c r="J25" i="15"/>
  <c r="K25" i="15"/>
  <c r="I25" i="15"/>
  <c r="H25" i="15"/>
  <c r="G25" i="15"/>
  <c r="F25" i="15"/>
  <c r="E25" i="15"/>
  <c r="O20" i="15"/>
  <c r="N20" i="15"/>
  <c r="M20" i="15"/>
  <c r="L20" i="15"/>
  <c r="K20" i="15"/>
  <c r="J20" i="15"/>
  <c r="I20" i="15"/>
  <c r="I21" i="15" s="1"/>
  <c r="H20" i="15"/>
  <c r="G20" i="15"/>
  <c r="F20" i="15"/>
  <c r="E20" i="15"/>
  <c r="O16" i="15"/>
  <c r="N16" i="15"/>
  <c r="M16" i="15"/>
  <c r="L16" i="15"/>
  <c r="K16" i="15"/>
  <c r="J16" i="15"/>
  <c r="I16" i="15"/>
  <c r="H16" i="15"/>
  <c r="G16" i="15"/>
  <c r="F16" i="15"/>
  <c r="E16" i="15"/>
  <c r="O10" i="14"/>
  <c r="P12" i="9" l="1"/>
  <c r="R10" i="44"/>
  <c r="U10" i="44" s="1"/>
  <c r="P11" i="9"/>
  <c r="R9" i="44"/>
  <c r="U9" i="44" s="1"/>
  <c r="J10" i="8"/>
  <c r="R8" i="44"/>
  <c r="U8" i="44" s="1"/>
  <c r="P8" i="9"/>
  <c r="R6" i="44"/>
  <c r="D41" i="15"/>
  <c r="D37" i="15"/>
  <c r="J18" i="8"/>
  <c r="P18" i="9"/>
  <c r="J17" i="8"/>
  <c r="P17" i="9"/>
  <c r="J16" i="8"/>
  <c r="P16" i="9"/>
  <c r="J15" i="8"/>
  <c r="P15" i="9"/>
  <c r="M35" i="5"/>
  <c r="J14" i="8"/>
  <c r="P14" i="9"/>
  <c r="J13" i="8"/>
  <c r="P13" i="9"/>
  <c r="J12" i="8"/>
  <c r="J9" i="8"/>
  <c r="P9" i="9"/>
  <c r="S9" i="9" s="1"/>
  <c r="J11" i="8"/>
  <c r="P10" i="9"/>
  <c r="J8" i="8"/>
  <c r="O21" i="15"/>
  <c r="H20" i="8"/>
  <c r="H19" i="8"/>
  <c r="G40" i="15"/>
  <c r="I40" i="5"/>
  <c r="M38" i="5"/>
  <c r="M30" i="5"/>
  <c r="L39" i="5"/>
  <c r="M28" i="5"/>
  <c r="M36" i="5"/>
  <c r="J19" i="2"/>
  <c r="F21" i="15"/>
  <c r="P7" i="15"/>
  <c r="O26" i="15"/>
  <c r="O40" i="15"/>
  <c r="N21" i="15"/>
  <c r="J21" i="15"/>
  <c r="L21" i="15"/>
  <c r="H26" i="15"/>
  <c r="P33" i="15"/>
  <c r="J40" i="15"/>
  <c r="L40" i="5"/>
  <c r="M33" i="5"/>
  <c r="M32" i="5"/>
  <c r="M29" i="5"/>
  <c r="M37" i="5"/>
  <c r="M31" i="5"/>
  <c r="K39" i="5"/>
  <c r="M27" i="5"/>
  <c r="M34" i="5"/>
  <c r="P25" i="15"/>
  <c r="P29" i="15"/>
  <c r="P39" i="15"/>
  <c r="I40" i="15"/>
  <c r="G21" i="15"/>
  <c r="H21" i="15"/>
  <c r="K21" i="15"/>
  <c r="P20" i="15"/>
  <c r="Q20" i="15" s="1"/>
  <c r="E21" i="15"/>
  <c r="M21" i="15"/>
  <c r="I26" i="15"/>
  <c r="L40" i="15"/>
  <c r="M40" i="15"/>
  <c r="F40" i="15"/>
  <c r="E40" i="15"/>
  <c r="H40" i="15"/>
  <c r="K40" i="5"/>
  <c r="J40" i="5"/>
  <c r="J39" i="5"/>
  <c r="I39" i="5"/>
  <c r="K40" i="15"/>
  <c r="K26" i="15"/>
  <c r="J26" i="15"/>
  <c r="L26" i="15"/>
  <c r="N40" i="15"/>
  <c r="E26" i="15"/>
  <c r="M26" i="15"/>
  <c r="F26" i="15"/>
  <c r="N26" i="15"/>
  <c r="G26" i="15"/>
  <c r="G41" i="15" l="1"/>
  <c r="U6" i="44"/>
  <c r="R17" i="44"/>
  <c r="R18" i="44"/>
  <c r="P61" i="15"/>
  <c r="Q61" i="15" s="1"/>
  <c r="P67" i="15"/>
  <c r="Q67" i="15" s="1"/>
  <c r="P72" i="15"/>
  <c r="P86" i="15"/>
  <c r="P70" i="15"/>
  <c r="P65" i="15"/>
  <c r="Q65" i="15" s="1"/>
  <c r="P74" i="15"/>
  <c r="Q74" i="15" s="1"/>
  <c r="D40" i="15"/>
  <c r="D21" i="15"/>
  <c r="D26" i="15"/>
  <c r="P21" i="15"/>
  <c r="Q21" i="15" s="1"/>
  <c r="Q33" i="15"/>
  <c r="M39" i="5"/>
  <c r="M40" i="5"/>
  <c r="Q25" i="15"/>
  <c r="P26" i="15"/>
  <c r="Q26" i="15" s="1"/>
  <c r="P40" i="15"/>
  <c r="Q39" i="15"/>
  <c r="N21" i="14"/>
  <c r="M21" i="14"/>
  <c r="L21" i="14"/>
  <c r="J21" i="14"/>
  <c r="I21" i="14"/>
  <c r="H21" i="14"/>
  <c r="G21" i="14"/>
  <c r="F20" i="14"/>
  <c r="F19" i="14"/>
  <c r="F18" i="14"/>
  <c r="F17" i="14"/>
  <c r="F16" i="14"/>
  <c r="F15" i="14"/>
  <c r="F14" i="14"/>
  <c r="F13" i="14"/>
  <c r="F12" i="14"/>
  <c r="F11" i="14"/>
  <c r="F10" i="14"/>
  <c r="P10" i="14" s="1"/>
  <c r="E14" i="15" s="1"/>
  <c r="E15" i="15" s="1"/>
  <c r="F9" i="14"/>
  <c r="O20" i="14"/>
  <c r="O19" i="14"/>
  <c r="O18" i="14"/>
  <c r="O17" i="14"/>
  <c r="O16" i="14"/>
  <c r="O15" i="14"/>
  <c r="O14" i="14"/>
  <c r="O13" i="14"/>
  <c r="O12" i="14"/>
  <c r="O11" i="14"/>
  <c r="O9" i="15"/>
  <c r="N9" i="15"/>
  <c r="M9" i="15"/>
  <c r="L9" i="15"/>
  <c r="K9" i="15"/>
  <c r="J9" i="15"/>
  <c r="I9" i="15"/>
  <c r="H9" i="15"/>
  <c r="G9" i="15"/>
  <c r="F9" i="15"/>
  <c r="E9" i="15"/>
  <c r="Q72" i="15" l="1"/>
  <c r="D26" i="47"/>
  <c r="Q70" i="15"/>
  <c r="D9" i="47"/>
  <c r="Q40" i="15"/>
  <c r="C70" i="47"/>
  <c r="Q86" i="15"/>
  <c r="D75" i="47"/>
  <c r="U18" i="44"/>
  <c r="U17" i="44"/>
  <c r="P18" i="14"/>
  <c r="M14" i="15" s="1"/>
  <c r="M15" i="15" s="1"/>
  <c r="P15" i="14"/>
  <c r="J14" i="15" s="1"/>
  <c r="J15" i="15" s="1"/>
  <c r="P16" i="14"/>
  <c r="K14" i="15" s="1"/>
  <c r="K15" i="15" s="1"/>
  <c r="P9" i="14"/>
  <c r="P17" i="14"/>
  <c r="L14" i="15" s="1"/>
  <c r="L15" i="15" s="1"/>
  <c r="P14" i="14"/>
  <c r="I14" i="15" s="1"/>
  <c r="I15" i="15" s="1"/>
  <c r="P13" i="14"/>
  <c r="H14" i="15" s="1"/>
  <c r="H15" i="15" s="1"/>
  <c r="P11" i="14"/>
  <c r="P19" i="14"/>
  <c r="N14" i="15" s="1"/>
  <c r="N15" i="15" s="1"/>
  <c r="P12" i="14"/>
  <c r="G14" i="15" s="1"/>
  <c r="G15" i="15" s="1"/>
  <c r="P20" i="14"/>
  <c r="O14" i="15" s="1"/>
  <c r="F21" i="14"/>
  <c r="O21" i="14"/>
  <c r="P9" i="15"/>
  <c r="Q9" i="15" s="1"/>
  <c r="K18" i="8"/>
  <c r="K17" i="8"/>
  <c r="K16" i="8"/>
  <c r="K15" i="8"/>
  <c r="K14" i="8"/>
  <c r="K13" i="8"/>
  <c r="K12" i="8"/>
  <c r="K11" i="8"/>
  <c r="K10" i="8"/>
  <c r="K9" i="8"/>
  <c r="K8" i="8"/>
  <c r="K7" i="8"/>
  <c r="J52" i="47" l="1"/>
  <c r="J51" i="47"/>
  <c r="K51" i="47" s="1"/>
  <c r="L51" i="47" s="1"/>
  <c r="M51" i="47" s="1"/>
  <c r="O15" i="15"/>
  <c r="C52" i="47"/>
  <c r="D70" i="47"/>
  <c r="C74" i="47"/>
  <c r="F14" i="15"/>
  <c r="F15" i="15" s="1"/>
  <c r="D14" i="15"/>
  <c r="D15" i="15" s="1"/>
  <c r="P21" i="14"/>
  <c r="H20" i="7"/>
  <c r="O36" i="15" s="1"/>
  <c r="H19" i="7"/>
  <c r="N36" i="15" s="1"/>
  <c r="H18" i="7"/>
  <c r="M36" i="15" s="1"/>
  <c r="H17" i="7"/>
  <c r="L36" i="15" s="1"/>
  <c r="H16" i="7"/>
  <c r="K36" i="15" s="1"/>
  <c r="H15" i="7"/>
  <c r="J36" i="15" s="1"/>
  <c r="H14" i="7"/>
  <c r="I36" i="15" s="1"/>
  <c r="H13" i="7"/>
  <c r="H36" i="15" s="1"/>
  <c r="H12" i="7"/>
  <c r="G36" i="15" s="1"/>
  <c r="H10" i="7"/>
  <c r="E36" i="15" s="1"/>
  <c r="H9" i="7"/>
  <c r="D36" i="15" s="1"/>
  <c r="J18" i="6"/>
  <c r="J17" i="6"/>
  <c r="J16" i="6"/>
  <c r="J15" i="6"/>
  <c r="J14" i="6"/>
  <c r="J13" i="6"/>
  <c r="J12" i="6"/>
  <c r="J11" i="6"/>
  <c r="J10" i="6"/>
  <c r="J9" i="6"/>
  <c r="J8" i="6"/>
  <c r="J7" i="6"/>
  <c r="H19" i="6"/>
  <c r="H20" i="6"/>
  <c r="I20" i="6"/>
  <c r="I19" i="6"/>
  <c r="E22" i="7"/>
  <c r="F22" i="7"/>
  <c r="G22" i="7"/>
  <c r="E21" i="7"/>
  <c r="F21" i="7"/>
  <c r="G21" i="7"/>
  <c r="S22" i="7"/>
  <c r="R22" i="7"/>
  <c r="P22" i="7"/>
  <c r="O22" i="7"/>
  <c r="L22" i="7"/>
  <c r="K22" i="7"/>
  <c r="J22" i="7"/>
  <c r="I22" i="7"/>
  <c r="D22" i="7"/>
  <c r="C22" i="7"/>
  <c r="S21" i="7"/>
  <c r="R21" i="7"/>
  <c r="P21" i="7"/>
  <c r="O21" i="7"/>
  <c r="L21" i="7"/>
  <c r="K21" i="7"/>
  <c r="J21" i="7"/>
  <c r="I21" i="7"/>
  <c r="Q20" i="7"/>
  <c r="Q19" i="7"/>
  <c r="Q18" i="7"/>
  <c r="Q17" i="7"/>
  <c r="Q16" i="7"/>
  <c r="Q15" i="7"/>
  <c r="Q14" i="7"/>
  <c r="Q13" i="7"/>
  <c r="Q12" i="7"/>
  <c r="Q11" i="7"/>
  <c r="Q10" i="7"/>
  <c r="D21" i="7"/>
  <c r="C21" i="7"/>
  <c r="S18" i="9"/>
  <c r="G19" i="8"/>
  <c r="E70" i="47" l="1"/>
  <c r="E75" i="47"/>
  <c r="I135" i="51" s="1"/>
  <c r="E154" i="51" s="1"/>
  <c r="E152" i="51" s="1"/>
  <c r="O37" i="15"/>
  <c r="N37" i="15"/>
  <c r="M37" i="15"/>
  <c r="L37" i="15"/>
  <c r="K37" i="15"/>
  <c r="J37" i="15"/>
  <c r="I37" i="15"/>
  <c r="H37" i="15"/>
  <c r="G37" i="15"/>
  <c r="F37" i="15"/>
  <c r="E37" i="15"/>
  <c r="P14" i="15"/>
  <c r="P15" i="15" s="1"/>
  <c r="Q15" i="15" s="1"/>
  <c r="H21" i="7"/>
  <c r="Q22" i="7"/>
  <c r="Q21" i="7"/>
  <c r="H22" i="7"/>
  <c r="T8" i="5"/>
  <c r="T9" i="5"/>
  <c r="T10" i="5"/>
  <c r="T11" i="5"/>
  <c r="T12" i="5"/>
  <c r="T13" i="5"/>
  <c r="T14" i="5"/>
  <c r="T15" i="5"/>
  <c r="T16" i="5"/>
  <c r="T17" i="5"/>
  <c r="T18" i="5"/>
  <c r="T19" i="5"/>
  <c r="N21" i="5"/>
  <c r="K21" i="5"/>
  <c r="I21" i="5"/>
  <c r="H21" i="5"/>
  <c r="G21" i="5"/>
  <c r="F21" i="5"/>
  <c r="D21" i="5"/>
  <c r="C21" i="5"/>
  <c r="E8" i="5"/>
  <c r="D23" i="15" s="1"/>
  <c r="E9" i="5"/>
  <c r="E10" i="5"/>
  <c r="E12" i="5"/>
  <c r="E13" i="5"/>
  <c r="E15" i="5"/>
  <c r="E16" i="5"/>
  <c r="E17" i="5"/>
  <c r="E18" i="5"/>
  <c r="E19" i="5"/>
  <c r="M24" i="3"/>
  <c r="E156" i="51" l="1"/>
  <c r="H152" i="51"/>
  <c r="I140" i="51" s="1"/>
  <c r="I142" i="51"/>
  <c r="F70" i="47"/>
  <c r="E77" i="47" s="1"/>
  <c r="E76" i="47"/>
  <c r="P36" i="15"/>
  <c r="C87" i="47" s="1"/>
  <c r="P83" i="15"/>
  <c r="P37" i="15"/>
  <c r="P82" i="15"/>
  <c r="D92" i="47" s="1"/>
  <c r="Q14" i="15"/>
  <c r="T20" i="5"/>
  <c r="T21" i="5"/>
  <c r="L19" i="5"/>
  <c r="O23" i="15"/>
  <c r="O24" i="15" s="1"/>
  <c r="L10" i="5"/>
  <c r="F23" i="15"/>
  <c r="F24" i="15" s="1"/>
  <c r="L9" i="5"/>
  <c r="E23" i="15"/>
  <c r="E24" i="15" s="1"/>
  <c r="L15" i="5"/>
  <c r="K23" i="15"/>
  <c r="K24" i="15" s="1"/>
  <c r="L12" i="5"/>
  <c r="H23" i="15"/>
  <c r="H24" i="15" s="1"/>
  <c r="L11" i="5"/>
  <c r="G23" i="15"/>
  <c r="G24" i="15" s="1"/>
  <c r="L18" i="5"/>
  <c r="N23" i="15"/>
  <c r="N24" i="15" s="1"/>
  <c r="L17" i="5"/>
  <c r="M23" i="15"/>
  <c r="M24" i="15" s="1"/>
  <c r="L16" i="5"/>
  <c r="L23" i="15"/>
  <c r="L24" i="15" s="1"/>
  <c r="L8" i="5"/>
  <c r="L14" i="5"/>
  <c r="J23" i="15"/>
  <c r="J24" i="15" s="1"/>
  <c r="L13" i="5"/>
  <c r="I23" i="15"/>
  <c r="I24" i="15" s="1"/>
  <c r="E21" i="5"/>
  <c r="L21" i="5" s="1"/>
  <c r="Q83" i="15" l="1"/>
  <c r="D105" i="47"/>
  <c r="Q37" i="15"/>
  <c r="C100" i="47"/>
  <c r="C91" i="47"/>
  <c r="D87" i="47"/>
  <c r="P23" i="15"/>
  <c r="D24" i="15"/>
  <c r="Q98" i="2"/>
  <c r="P98" i="2"/>
  <c r="O98" i="2"/>
  <c r="M98" i="2"/>
  <c r="L98" i="2"/>
  <c r="K98" i="2"/>
  <c r="I98" i="2"/>
  <c r="H98" i="2"/>
  <c r="G98" i="2"/>
  <c r="E98" i="2"/>
  <c r="D98" i="2"/>
  <c r="C98" i="2"/>
  <c r="Q79" i="2"/>
  <c r="P79" i="2"/>
  <c r="O79" i="2"/>
  <c r="M79" i="2"/>
  <c r="L79" i="2"/>
  <c r="K79" i="2"/>
  <c r="I79" i="2"/>
  <c r="H79" i="2"/>
  <c r="G79" i="2"/>
  <c r="E79" i="2"/>
  <c r="D79" i="2"/>
  <c r="C79" i="2"/>
  <c r="K19" i="2"/>
  <c r="L8" i="2"/>
  <c r="L9" i="2"/>
  <c r="L10" i="2"/>
  <c r="L11" i="2"/>
  <c r="L12" i="2"/>
  <c r="L13" i="2"/>
  <c r="L14" i="2"/>
  <c r="L15" i="2"/>
  <c r="L16" i="2"/>
  <c r="L17" i="2"/>
  <c r="L18" i="2"/>
  <c r="D19" i="2"/>
  <c r="E19" i="2"/>
  <c r="F19" i="2"/>
  <c r="G19" i="2"/>
  <c r="H19" i="2"/>
  <c r="I19" i="2"/>
  <c r="M19" i="2"/>
  <c r="D100" i="47" l="1"/>
  <c r="C104" i="47"/>
  <c r="E92" i="47"/>
  <c r="I83" i="51" s="1"/>
  <c r="E102" i="51" s="1"/>
  <c r="E100" i="51" s="1"/>
  <c r="E87" i="47"/>
  <c r="L19" i="2"/>
  <c r="Q23" i="15"/>
  <c r="P24" i="15"/>
  <c r="Q24" i="15" s="1"/>
  <c r="E100" i="47" l="1"/>
  <c r="E105" i="47"/>
  <c r="I109" i="51" s="1"/>
  <c r="E128" i="51" s="1"/>
  <c r="E126" i="51" s="1"/>
  <c r="H100" i="51"/>
  <c r="I88" i="51" s="1"/>
  <c r="I90" i="51"/>
  <c r="E104" i="51"/>
  <c r="F87" i="47"/>
  <c r="E94" i="47" s="1"/>
  <c r="E93" i="47"/>
  <c r="F33" i="9"/>
  <c r="D19" i="3"/>
  <c r="C19" i="3"/>
  <c r="M27" i="3"/>
  <c r="M32" i="3"/>
  <c r="E21" i="14"/>
  <c r="D21" i="14"/>
  <c r="C21" i="14"/>
  <c r="M25" i="3"/>
  <c r="M26" i="3"/>
  <c r="M28" i="3"/>
  <c r="M29" i="3"/>
  <c r="M30" i="3"/>
  <c r="M31" i="3"/>
  <c r="M33" i="3"/>
  <c r="M34" i="3"/>
  <c r="M35" i="3"/>
  <c r="H38" i="4"/>
  <c r="H37" i="4"/>
  <c r="Y60" i="2"/>
  <c r="Y49" i="2"/>
  <c r="Y51" i="2"/>
  <c r="Y52" i="2"/>
  <c r="Y53" i="2"/>
  <c r="Y54" i="2"/>
  <c r="Y55" i="2"/>
  <c r="Y56" i="2"/>
  <c r="Y57" i="2"/>
  <c r="Y58" i="2"/>
  <c r="Y59" i="2"/>
  <c r="Y48" i="2"/>
  <c r="N20" i="5"/>
  <c r="S17" i="9"/>
  <c r="N20" i="9"/>
  <c r="N19" i="9"/>
  <c r="AG39" i="2"/>
  <c r="R31" i="2"/>
  <c r="J29" i="2"/>
  <c r="AO29" i="2" s="1"/>
  <c r="F29" i="2"/>
  <c r="E130" i="51" l="1"/>
  <c r="I116" i="51"/>
  <c r="H126" i="51"/>
  <c r="I114" i="51" s="1"/>
  <c r="F100" i="47"/>
  <c r="E107" i="47" s="1"/>
  <c r="E106" i="47"/>
  <c r="K44" i="15"/>
  <c r="M36" i="3"/>
  <c r="F37" i="9"/>
  <c r="F36" i="9"/>
  <c r="F35" i="9"/>
  <c r="F34" i="9"/>
  <c r="F32" i="9"/>
  <c r="F31" i="9"/>
  <c r="F30" i="9"/>
  <c r="F29" i="9"/>
  <c r="F28" i="9"/>
  <c r="F27" i="9"/>
  <c r="F26" i="9"/>
  <c r="S16" i="9"/>
  <c r="S15" i="9"/>
  <c r="S14" i="9"/>
  <c r="S13" i="9"/>
  <c r="S12" i="9"/>
  <c r="S11" i="9"/>
  <c r="S10" i="9"/>
  <c r="S8" i="9"/>
  <c r="R20" i="9"/>
  <c r="Q20" i="9"/>
  <c r="P20" i="9"/>
  <c r="O20" i="9"/>
  <c r="M20" i="9"/>
  <c r="L20" i="9"/>
  <c r="K20" i="9"/>
  <c r="R19" i="9"/>
  <c r="Q19" i="9"/>
  <c r="P19" i="9"/>
  <c r="O19" i="9"/>
  <c r="M19" i="9"/>
  <c r="L19" i="9"/>
  <c r="K19" i="9"/>
  <c r="E19" i="9"/>
  <c r="F19" i="9"/>
  <c r="G19" i="9"/>
  <c r="H19" i="9"/>
  <c r="E20" i="9"/>
  <c r="F20" i="9"/>
  <c r="G20" i="9"/>
  <c r="H20" i="9"/>
  <c r="D19" i="9"/>
  <c r="D20" i="9"/>
  <c r="I18" i="9"/>
  <c r="I17" i="9"/>
  <c r="I16" i="9"/>
  <c r="I15" i="9"/>
  <c r="I14" i="9"/>
  <c r="I13" i="9"/>
  <c r="I12" i="9"/>
  <c r="I11" i="9"/>
  <c r="I10" i="9"/>
  <c r="I8" i="9"/>
  <c r="E38" i="9"/>
  <c r="D38" i="9"/>
  <c r="E19" i="8"/>
  <c r="E20" i="8"/>
  <c r="G20" i="8"/>
  <c r="D20" i="8"/>
  <c r="C20" i="8"/>
  <c r="D19" i="8"/>
  <c r="C19" i="8"/>
  <c r="J19" i="8" s="1"/>
  <c r="E38" i="4"/>
  <c r="D38" i="4"/>
  <c r="C38" i="4"/>
  <c r="E37" i="4"/>
  <c r="D37" i="4"/>
  <c r="C37" i="4"/>
  <c r="D19" i="4"/>
  <c r="E19" i="4"/>
  <c r="G19" i="4"/>
  <c r="H19" i="4"/>
  <c r="I19" i="4"/>
  <c r="D20" i="4"/>
  <c r="E20" i="4"/>
  <c r="G20" i="4"/>
  <c r="H20" i="4"/>
  <c r="I20" i="4"/>
  <c r="C19" i="4"/>
  <c r="C20" i="4"/>
  <c r="J18" i="4"/>
  <c r="J17" i="4"/>
  <c r="J16" i="4"/>
  <c r="J15" i="4"/>
  <c r="J14" i="4"/>
  <c r="J13" i="4"/>
  <c r="J12" i="4"/>
  <c r="J11" i="4"/>
  <c r="J10" i="4"/>
  <c r="J9" i="4"/>
  <c r="J8" i="4"/>
  <c r="J7" i="4"/>
  <c r="F18" i="4"/>
  <c r="F17" i="4"/>
  <c r="F16" i="4"/>
  <c r="F15" i="4"/>
  <c r="F14" i="4"/>
  <c r="F13" i="4"/>
  <c r="F12" i="4"/>
  <c r="F11" i="4"/>
  <c r="F10" i="4"/>
  <c r="F9" i="4"/>
  <c r="F8" i="4"/>
  <c r="F7" i="4"/>
  <c r="D36" i="3"/>
  <c r="E36" i="3"/>
  <c r="F36" i="3"/>
  <c r="G36" i="3"/>
  <c r="H36" i="3"/>
  <c r="I36" i="3"/>
  <c r="J36" i="3"/>
  <c r="K36" i="3"/>
  <c r="C36" i="3"/>
  <c r="O60" i="2"/>
  <c r="N60" i="2"/>
  <c r="L60" i="2"/>
  <c r="K60" i="2"/>
  <c r="D60" i="2"/>
  <c r="F60" i="2"/>
  <c r="G60" i="2"/>
  <c r="C60" i="2"/>
  <c r="Y39" i="2" a="1"/>
  <c r="Y39" i="2" s="1"/>
  <c r="X39" i="2" a="1"/>
  <c r="X39" i="2" s="1"/>
  <c r="W39" i="2" a="1"/>
  <c r="W39" i="2" s="1"/>
  <c r="U39" i="2" a="1"/>
  <c r="U39" i="2" s="1"/>
  <c r="T39" i="2" a="1"/>
  <c r="T39" i="2" s="1"/>
  <c r="S39" i="2" a="1"/>
  <c r="S39" i="2" s="1"/>
  <c r="Q39" i="2" a="1"/>
  <c r="Q39" i="2" s="1"/>
  <c r="P39" i="2" a="1"/>
  <c r="P39" i="2" s="1"/>
  <c r="O39" i="2" a="1"/>
  <c r="O39" i="2" s="1"/>
  <c r="M39" i="2" a="1"/>
  <c r="M39" i="2" s="1"/>
  <c r="L39" i="2" a="1"/>
  <c r="L39" i="2" s="1"/>
  <c r="K39" i="2" a="1"/>
  <c r="K39" i="2" s="1"/>
  <c r="I39" i="2" a="1"/>
  <c r="I39" i="2" s="1"/>
  <c r="H39" i="2" a="1"/>
  <c r="H39" i="2" s="1"/>
  <c r="G39" i="2" a="1"/>
  <c r="G39" i="2" s="1"/>
  <c r="E39" i="2" a="1"/>
  <c r="E39" i="2" s="1"/>
  <c r="D39" i="2" a="1"/>
  <c r="D39" i="2" s="1"/>
  <c r="C39" i="2" a="1"/>
  <c r="C39" i="2" s="1"/>
  <c r="AF39" i="2" a="1"/>
  <c r="AF39" i="2" s="1"/>
  <c r="AC39" i="2" a="1"/>
  <c r="AC39" i="2" s="1"/>
  <c r="AB39" i="2" a="1"/>
  <c r="AB39" i="2" s="1"/>
  <c r="AN29" i="2"/>
  <c r="Z38" i="2"/>
  <c r="Z37" i="2"/>
  <c r="Z36" i="2"/>
  <c r="Z35" i="2"/>
  <c r="Z34" i="2"/>
  <c r="Z33" i="2"/>
  <c r="Z32" i="2"/>
  <c r="Z31" i="2"/>
  <c r="Z30" i="2"/>
  <c r="Z29" i="2"/>
  <c r="Z28" i="2"/>
  <c r="Z27" i="2"/>
  <c r="V38" i="2"/>
  <c r="V37" i="2"/>
  <c r="V36" i="2"/>
  <c r="V35" i="2"/>
  <c r="V34" i="2"/>
  <c r="V33" i="2"/>
  <c r="V32" i="2"/>
  <c r="V31" i="2"/>
  <c r="V30" i="2"/>
  <c r="V29" i="2"/>
  <c r="V28" i="2"/>
  <c r="V27" i="2"/>
  <c r="R38" i="2"/>
  <c r="R37" i="2"/>
  <c r="R36" i="2"/>
  <c r="R35" i="2"/>
  <c r="R34" i="2"/>
  <c r="R33" i="2"/>
  <c r="R32" i="2"/>
  <c r="R30" i="2"/>
  <c r="R29" i="2"/>
  <c r="R28" i="2"/>
  <c r="R27" i="2"/>
  <c r="N38" i="2"/>
  <c r="N36" i="2"/>
  <c r="N35" i="2"/>
  <c r="N34" i="2"/>
  <c r="N33" i="2"/>
  <c r="N31" i="2"/>
  <c r="N30" i="2"/>
  <c r="N29" i="2"/>
  <c r="N28" i="2"/>
  <c r="N27" i="2"/>
  <c r="J38" i="2"/>
  <c r="AO38" i="2" s="1"/>
  <c r="J37" i="2"/>
  <c r="AO37" i="2" s="1"/>
  <c r="J36" i="2"/>
  <c r="AO36" i="2" s="1"/>
  <c r="J35" i="2"/>
  <c r="AO35" i="2" s="1"/>
  <c r="J34" i="2"/>
  <c r="AO34" i="2" s="1"/>
  <c r="J33" i="2"/>
  <c r="AO33" i="2" s="1"/>
  <c r="J32" i="2"/>
  <c r="AO32" i="2" s="1"/>
  <c r="J31" i="2"/>
  <c r="AO31" i="2" s="1"/>
  <c r="J30" i="2"/>
  <c r="AO30" i="2" s="1"/>
  <c r="J28" i="2"/>
  <c r="AO28" i="2" s="1"/>
  <c r="J27" i="2"/>
  <c r="AO27" i="2" s="1"/>
  <c r="M54" i="6"/>
  <c r="M52" i="6"/>
  <c r="M51" i="6"/>
  <c r="M50" i="6"/>
  <c r="M49" i="6"/>
  <c r="M48" i="6"/>
  <c r="M47" i="6"/>
  <c r="M45" i="6"/>
  <c r="M44" i="6"/>
  <c r="M43" i="6"/>
  <c r="F37" i="6"/>
  <c r="G37" i="6"/>
  <c r="H37" i="6"/>
  <c r="I37" i="6"/>
  <c r="J37" i="6"/>
  <c r="F38" i="6"/>
  <c r="G38" i="6"/>
  <c r="H38" i="6"/>
  <c r="I38" i="6"/>
  <c r="J38" i="6"/>
  <c r="E38" i="6"/>
  <c r="D38" i="6"/>
  <c r="C38" i="6"/>
  <c r="E37" i="6"/>
  <c r="D37" i="6"/>
  <c r="C37" i="6"/>
  <c r="P20" i="6"/>
  <c r="O20" i="6"/>
  <c r="P19" i="6"/>
  <c r="O19" i="6"/>
  <c r="D19" i="6"/>
  <c r="E19" i="6"/>
  <c r="F19" i="6"/>
  <c r="G19" i="6"/>
  <c r="D20" i="6"/>
  <c r="E20" i="6"/>
  <c r="F20" i="6"/>
  <c r="G20" i="6"/>
  <c r="J36" i="4" l="1"/>
  <c r="O18" i="15" s="1"/>
  <c r="O19" i="15" s="1"/>
  <c r="J44" i="15"/>
  <c r="L44" i="15"/>
  <c r="M44" i="15"/>
  <c r="N44" i="15"/>
  <c r="F44" i="15"/>
  <c r="O44" i="15"/>
  <c r="G44" i="15"/>
  <c r="H44" i="15"/>
  <c r="I44" i="15"/>
  <c r="E44" i="15"/>
  <c r="D44" i="15"/>
  <c r="N43" i="15"/>
  <c r="O43" i="15"/>
  <c r="D18" i="15"/>
  <c r="J25" i="4"/>
  <c r="J33" i="4"/>
  <c r="E18" i="15"/>
  <c r="E19" i="15" s="1"/>
  <c r="J26" i="4"/>
  <c r="J34" i="4"/>
  <c r="J31" i="4"/>
  <c r="J18" i="15" s="1"/>
  <c r="J19" i="15" s="1"/>
  <c r="F18" i="15"/>
  <c r="F19" i="15" s="1"/>
  <c r="J27" i="4"/>
  <c r="J35" i="4"/>
  <c r="N18" i="15" s="1"/>
  <c r="N19" i="15" s="1"/>
  <c r="I18" i="15"/>
  <c r="I19" i="15" s="1"/>
  <c r="J30" i="4"/>
  <c r="G18" i="15"/>
  <c r="G19" i="15" s="1"/>
  <c r="J28" i="4"/>
  <c r="H18" i="15"/>
  <c r="H19" i="15" s="1"/>
  <c r="J29" i="4"/>
  <c r="J32" i="4"/>
  <c r="J43" i="15"/>
  <c r="K43" i="15"/>
  <c r="D43" i="15"/>
  <c r="L43" i="15"/>
  <c r="E43" i="15"/>
  <c r="F43" i="15"/>
  <c r="M43" i="15"/>
  <c r="I43" i="15"/>
  <c r="H43" i="15"/>
  <c r="Q19" i="6"/>
  <c r="K19" i="8"/>
  <c r="G43" i="15"/>
  <c r="R39" i="2" a="1"/>
  <c r="R39" i="2" s="1"/>
  <c r="AJ29" i="2"/>
  <c r="AI29" i="2"/>
  <c r="F20" i="4"/>
  <c r="J20" i="4"/>
  <c r="F19" i="4"/>
  <c r="AJ31" i="2"/>
  <c r="AJ33" i="2"/>
  <c r="AJ37" i="2"/>
  <c r="AJ30" i="2"/>
  <c r="AJ34" i="2"/>
  <c r="AJ38" i="2"/>
  <c r="AJ27" i="2"/>
  <c r="AJ35" i="2"/>
  <c r="AJ28" i="2"/>
  <c r="AJ32" i="2"/>
  <c r="AJ36" i="2"/>
  <c r="S19" i="9"/>
  <c r="AO39" i="2" a="1"/>
  <c r="AO39" i="2" s="1"/>
  <c r="N39" i="2" a="1"/>
  <c r="N39" i="2" s="1"/>
  <c r="V39" i="2" a="1"/>
  <c r="V39" i="2" s="1"/>
  <c r="Z39" i="2" a="1"/>
  <c r="Z39" i="2" s="1"/>
  <c r="F38" i="9"/>
  <c r="Q44" i="15" s="1"/>
  <c r="J19" i="4"/>
  <c r="J39" i="2" a="1"/>
  <c r="J39" i="2" s="1"/>
  <c r="I20" i="9"/>
  <c r="I19" i="9"/>
  <c r="S20" i="9"/>
  <c r="P89" i="15" l="1"/>
  <c r="D130" i="47" s="1"/>
  <c r="L34" i="4"/>
  <c r="M18" i="15"/>
  <c r="M19" i="15" s="1"/>
  <c r="L32" i="4"/>
  <c r="K18" i="15"/>
  <c r="K19" i="15" s="1"/>
  <c r="L33" i="4"/>
  <c r="L18" i="15"/>
  <c r="L19" i="15" s="1"/>
  <c r="J38" i="4"/>
  <c r="J37" i="4"/>
  <c r="P43" i="15"/>
  <c r="AJ39" i="2" a="1"/>
  <c r="AJ39" i="2" s="1"/>
  <c r="G38" i="5"/>
  <c r="G37" i="5"/>
  <c r="G36" i="5"/>
  <c r="G35" i="5"/>
  <c r="G34" i="5"/>
  <c r="G33" i="5"/>
  <c r="G32" i="5"/>
  <c r="G31" i="5"/>
  <c r="G30" i="5"/>
  <c r="G29" i="5"/>
  <c r="G28" i="5"/>
  <c r="G27" i="5"/>
  <c r="F38" i="5"/>
  <c r="F37" i="5"/>
  <c r="F36" i="5"/>
  <c r="F35" i="5"/>
  <c r="F34" i="5"/>
  <c r="F33" i="5"/>
  <c r="F32" i="5"/>
  <c r="F31" i="5"/>
  <c r="F30" i="5"/>
  <c r="F29" i="5"/>
  <c r="F28" i="5"/>
  <c r="F27" i="5"/>
  <c r="E38" i="5"/>
  <c r="E37" i="5"/>
  <c r="E36" i="5"/>
  <c r="E35" i="5"/>
  <c r="E34" i="5"/>
  <c r="E33" i="5"/>
  <c r="E32" i="5"/>
  <c r="E31" i="5"/>
  <c r="E30" i="5"/>
  <c r="E29" i="5"/>
  <c r="E28" i="5"/>
  <c r="E27" i="5"/>
  <c r="D38" i="5"/>
  <c r="D37" i="5"/>
  <c r="D36" i="5"/>
  <c r="D35" i="5"/>
  <c r="D34" i="5"/>
  <c r="D33" i="5"/>
  <c r="D32" i="5"/>
  <c r="D31" i="5"/>
  <c r="D30" i="5"/>
  <c r="D29" i="5"/>
  <c r="D28" i="5"/>
  <c r="D27" i="5"/>
  <c r="K20" i="5"/>
  <c r="D20" i="5"/>
  <c r="F20" i="5"/>
  <c r="C21" i="47" s="1"/>
  <c r="G20" i="5"/>
  <c r="H20" i="5"/>
  <c r="I20" i="5"/>
  <c r="C20" i="5"/>
  <c r="C28" i="5"/>
  <c r="C29" i="5"/>
  <c r="C30" i="5"/>
  <c r="C31" i="5"/>
  <c r="C32" i="5"/>
  <c r="C33" i="5"/>
  <c r="C34" i="5"/>
  <c r="C35" i="5"/>
  <c r="C36" i="5"/>
  <c r="C37" i="5"/>
  <c r="C38" i="5"/>
  <c r="R97" i="2"/>
  <c r="R96" i="2"/>
  <c r="R95" i="2"/>
  <c r="R94" i="2"/>
  <c r="R93" i="2"/>
  <c r="R92" i="2"/>
  <c r="R91" i="2"/>
  <c r="R90" i="2"/>
  <c r="R89" i="2"/>
  <c r="R88" i="2"/>
  <c r="R87" i="2"/>
  <c r="N97" i="2"/>
  <c r="N96" i="2"/>
  <c r="N95" i="2"/>
  <c r="N94" i="2"/>
  <c r="N93" i="2"/>
  <c r="N92" i="2"/>
  <c r="N91" i="2"/>
  <c r="N90" i="2"/>
  <c r="N89" i="2"/>
  <c r="N88" i="2"/>
  <c r="N87" i="2"/>
  <c r="N86" i="2"/>
  <c r="J97" i="2"/>
  <c r="J96" i="2"/>
  <c r="J95" i="2"/>
  <c r="J94" i="2"/>
  <c r="J93" i="2"/>
  <c r="J92" i="2"/>
  <c r="J91" i="2"/>
  <c r="J90" i="2"/>
  <c r="J89" i="2"/>
  <c r="J88" i="2"/>
  <c r="J87" i="2"/>
  <c r="J86" i="2"/>
  <c r="F97" i="2"/>
  <c r="F96" i="2"/>
  <c r="F95" i="2"/>
  <c r="F94" i="2"/>
  <c r="F93" i="2"/>
  <c r="F92" i="2"/>
  <c r="F91" i="2"/>
  <c r="F90" i="2"/>
  <c r="F89" i="2"/>
  <c r="F88" i="2"/>
  <c r="F87" i="2"/>
  <c r="F86" i="2"/>
  <c r="R78" i="2"/>
  <c r="R77" i="2"/>
  <c r="R76" i="2"/>
  <c r="R75" i="2"/>
  <c r="R74" i="2"/>
  <c r="R73" i="2"/>
  <c r="R72" i="2"/>
  <c r="R71" i="2"/>
  <c r="R70" i="2"/>
  <c r="R69" i="2"/>
  <c r="R68" i="2"/>
  <c r="R67" i="2"/>
  <c r="N78" i="2"/>
  <c r="N77" i="2"/>
  <c r="N76" i="2"/>
  <c r="N75" i="2"/>
  <c r="N74" i="2"/>
  <c r="N73" i="2"/>
  <c r="N72" i="2"/>
  <c r="N71" i="2"/>
  <c r="N70" i="2"/>
  <c r="N69" i="2"/>
  <c r="N68" i="2"/>
  <c r="N67" i="2"/>
  <c r="J78" i="2"/>
  <c r="J77" i="2"/>
  <c r="J76" i="2"/>
  <c r="J75" i="2"/>
  <c r="J74" i="2"/>
  <c r="J73" i="2"/>
  <c r="J72" i="2"/>
  <c r="J71" i="2"/>
  <c r="J70" i="2"/>
  <c r="J69" i="2"/>
  <c r="J68" i="2"/>
  <c r="J67" i="2"/>
  <c r="F78" i="2"/>
  <c r="F77" i="2"/>
  <c r="F76" i="2"/>
  <c r="F75" i="2"/>
  <c r="F74" i="2"/>
  <c r="F73" i="2"/>
  <c r="F72" i="2"/>
  <c r="F71" i="2"/>
  <c r="F70" i="2"/>
  <c r="F69" i="2"/>
  <c r="F68" i="2"/>
  <c r="F67" i="2"/>
  <c r="P59" i="2"/>
  <c r="P58" i="2"/>
  <c r="P57" i="2"/>
  <c r="P56" i="2"/>
  <c r="P55" i="2"/>
  <c r="P54" i="2"/>
  <c r="P53" i="2"/>
  <c r="P52" i="2"/>
  <c r="P51" i="2"/>
  <c r="P50" i="2"/>
  <c r="P49" i="2"/>
  <c r="P48" i="2"/>
  <c r="Q48" i="2" s="1"/>
  <c r="M59" i="2"/>
  <c r="M58" i="2"/>
  <c r="M57" i="2"/>
  <c r="M56" i="2"/>
  <c r="M55" i="2"/>
  <c r="M54" i="2"/>
  <c r="M53" i="2"/>
  <c r="M52" i="2"/>
  <c r="M51" i="2"/>
  <c r="M50" i="2"/>
  <c r="M49" i="2"/>
  <c r="M48" i="2"/>
  <c r="H59" i="2"/>
  <c r="H58" i="2"/>
  <c r="H57" i="2"/>
  <c r="H56" i="2"/>
  <c r="H55" i="2"/>
  <c r="H54" i="2"/>
  <c r="H53" i="2"/>
  <c r="H52" i="2"/>
  <c r="H51" i="2"/>
  <c r="H50" i="2"/>
  <c r="H49" i="2"/>
  <c r="H48" i="2"/>
  <c r="E59" i="2"/>
  <c r="E58" i="2"/>
  <c r="E57" i="2"/>
  <c r="E56" i="2"/>
  <c r="E55" i="2"/>
  <c r="E54" i="2"/>
  <c r="E53" i="2"/>
  <c r="E52" i="2"/>
  <c r="E51" i="2"/>
  <c r="E50" i="2"/>
  <c r="E48" i="2"/>
  <c r="AP29" i="2"/>
  <c r="AK29" i="2"/>
  <c r="AD28" i="2"/>
  <c r="AD29" i="2"/>
  <c r="AD30" i="2"/>
  <c r="AD31" i="2"/>
  <c r="AD32" i="2"/>
  <c r="AD33" i="2"/>
  <c r="AD34" i="2"/>
  <c r="AD35" i="2"/>
  <c r="AD36" i="2"/>
  <c r="AD37" i="2"/>
  <c r="F27" i="2"/>
  <c r="G114" i="10"/>
  <c r="F114" i="10"/>
  <c r="G105" i="10"/>
  <c r="F105" i="10"/>
  <c r="G96" i="10"/>
  <c r="F96" i="10"/>
  <c r="G87" i="10"/>
  <c r="F87" i="10"/>
  <c r="G78" i="10"/>
  <c r="F78" i="10"/>
  <c r="G69" i="10"/>
  <c r="F69" i="10"/>
  <c r="G60" i="10"/>
  <c r="F60" i="10"/>
  <c r="G51" i="10"/>
  <c r="F51" i="10"/>
  <c r="G42" i="10"/>
  <c r="F42" i="10"/>
  <c r="G33" i="10"/>
  <c r="F33" i="10"/>
  <c r="G24" i="10"/>
  <c r="G15" i="10"/>
  <c r="F15" i="10"/>
  <c r="R9" i="35" l="1"/>
  <c r="S9" i="35" s="1"/>
  <c r="F80" i="15"/>
  <c r="I50" i="2"/>
  <c r="C25" i="47"/>
  <c r="D21" i="47"/>
  <c r="P18" i="15"/>
  <c r="P19" i="15" s="1"/>
  <c r="Q50" i="2"/>
  <c r="AI27" i="2"/>
  <c r="AK27" i="2" s="1"/>
  <c r="AN27" i="2"/>
  <c r="S48" i="2"/>
  <c r="Q51" i="2"/>
  <c r="Q58" i="2"/>
  <c r="Q59" i="2"/>
  <c r="Q57" i="2"/>
  <c r="Q49" i="2"/>
  <c r="Q52" i="2"/>
  <c r="Q54" i="2"/>
  <c r="Q55" i="2"/>
  <c r="Q53" i="2"/>
  <c r="Q56" i="2"/>
  <c r="H30" i="5"/>
  <c r="N30" i="5" s="1"/>
  <c r="G27" i="15" s="1"/>
  <c r="G28" i="15" s="1"/>
  <c r="H36" i="5"/>
  <c r="N36" i="5" s="1"/>
  <c r="M27" i="15" s="1"/>
  <c r="M28" i="15" s="1"/>
  <c r="H38" i="5"/>
  <c r="N38" i="5" s="1"/>
  <c r="O27" i="15" s="1"/>
  <c r="O28" i="15" s="1"/>
  <c r="H31" i="5"/>
  <c r="N31" i="5" s="1"/>
  <c r="H27" i="15" s="1"/>
  <c r="H28" i="15" s="1"/>
  <c r="H35" i="5"/>
  <c r="N35" i="5" s="1"/>
  <c r="L27" i="15" s="1"/>
  <c r="L28" i="15" s="1"/>
  <c r="H32" i="5"/>
  <c r="N32" i="5" s="1"/>
  <c r="I27" i="15" s="1"/>
  <c r="I28" i="15" s="1"/>
  <c r="R98" i="2"/>
  <c r="AL29" i="2"/>
  <c r="F10" i="15" s="1"/>
  <c r="F34" i="15"/>
  <c r="H37" i="5"/>
  <c r="N37" i="5" s="1"/>
  <c r="N27" i="15" s="1"/>
  <c r="N28" i="15" s="1"/>
  <c r="H29" i="5"/>
  <c r="N29" i="5" s="1"/>
  <c r="F27" i="15" s="1"/>
  <c r="F28" i="15" s="1"/>
  <c r="H28" i="5"/>
  <c r="N28" i="5" s="1"/>
  <c r="E27" i="15" s="1"/>
  <c r="E28" i="15" s="1"/>
  <c r="H34" i="5"/>
  <c r="N34" i="5" s="1"/>
  <c r="K27" i="15" s="1"/>
  <c r="K28" i="15" s="1"/>
  <c r="H33" i="5"/>
  <c r="N33" i="5" s="1"/>
  <c r="J27" i="15" s="1"/>
  <c r="J28" i="15" s="1"/>
  <c r="J79" i="2"/>
  <c r="R79" i="2"/>
  <c r="J98" i="2"/>
  <c r="F79" i="2"/>
  <c r="N79" i="2"/>
  <c r="F98" i="2"/>
  <c r="N98" i="2"/>
  <c r="S50" i="2"/>
  <c r="T50" i="2" s="1"/>
  <c r="F12" i="15" s="1"/>
  <c r="S58" i="2"/>
  <c r="S59" i="2"/>
  <c r="S53" i="2"/>
  <c r="E60" i="2"/>
  <c r="M60" i="2"/>
  <c r="S52" i="2"/>
  <c r="S54" i="2"/>
  <c r="S51" i="2"/>
  <c r="AP27" i="2"/>
  <c r="AQ27" i="2" s="1"/>
  <c r="D11" i="15" s="1"/>
  <c r="S55" i="2"/>
  <c r="AD39" i="2" a="1"/>
  <c r="AD39" i="2" s="1"/>
  <c r="H60" i="2"/>
  <c r="P60" i="2"/>
  <c r="S56" i="2"/>
  <c r="S49" i="2"/>
  <c r="S57" i="2"/>
  <c r="D40" i="5"/>
  <c r="E40" i="5"/>
  <c r="F40" i="5"/>
  <c r="G40" i="5"/>
  <c r="AQ29" i="2"/>
  <c r="F11" i="15" s="1"/>
  <c r="C27" i="5"/>
  <c r="H27" i="5" s="1"/>
  <c r="E20" i="5"/>
  <c r="C4" i="47" s="1"/>
  <c r="G39" i="5"/>
  <c r="F39" i="5"/>
  <c r="E39" i="5"/>
  <c r="D39" i="5"/>
  <c r="D69" i="11"/>
  <c r="E69" i="11"/>
  <c r="F69" i="11"/>
  <c r="G69" i="11"/>
  <c r="H69" i="11"/>
  <c r="I69" i="11"/>
  <c r="J69" i="11"/>
  <c r="K69" i="11"/>
  <c r="L69" i="11"/>
  <c r="M69" i="11"/>
  <c r="N69" i="11"/>
  <c r="C69" i="11"/>
  <c r="D62" i="11"/>
  <c r="E62" i="11"/>
  <c r="F62" i="11"/>
  <c r="G62" i="11"/>
  <c r="H62" i="11"/>
  <c r="I62" i="11"/>
  <c r="J62" i="11"/>
  <c r="K62" i="11"/>
  <c r="L62" i="11"/>
  <c r="M62" i="11"/>
  <c r="N62" i="11"/>
  <c r="C62" i="11"/>
  <c r="D55" i="11"/>
  <c r="E55" i="11"/>
  <c r="F55" i="11"/>
  <c r="G55" i="11"/>
  <c r="H55" i="11"/>
  <c r="I55" i="11"/>
  <c r="J55" i="11"/>
  <c r="K55" i="11"/>
  <c r="L55" i="11"/>
  <c r="M55" i="11"/>
  <c r="C55" i="11"/>
  <c r="D36" i="11"/>
  <c r="E36" i="11"/>
  <c r="F36" i="11"/>
  <c r="G36" i="11"/>
  <c r="H36" i="11"/>
  <c r="I36" i="11"/>
  <c r="J36" i="11"/>
  <c r="K36" i="11"/>
  <c r="L36" i="11"/>
  <c r="M36" i="11"/>
  <c r="N36" i="11"/>
  <c r="C36" i="11"/>
  <c r="D28" i="11"/>
  <c r="E28" i="11"/>
  <c r="F28" i="11"/>
  <c r="G28" i="11"/>
  <c r="H28" i="11"/>
  <c r="I28" i="11"/>
  <c r="J28" i="11"/>
  <c r="K28" i="11"/>
  <c r="L28" i="11"/>
  <c r="M28" i="11"/>
  <c r="N28" i="11"/>
  <c r="C28" i="11"/>
  <c r="E20" i="11"/>
  <c r="F20" i="11"/>
  <c r="G20" i="11"/>
  <c r="H20" i="11"/>
  <c r="I20" i="11"/>
  <c r="J20" i="11"/>
  <c r="K20" i="11"/>
  <c r="L20" i="11"/>
  <c r="M20" i="11"/>
  <c r="N20" i="11"/>
  <c r="O20" i="11"/>
  <c r="P20" i="11"/>
  <c r="Q20" i="11"/>
  <c r="R20" i="11"/>
  <c r="S20" i="11"/>
  <c r="T20" i="11"/>
  <c r="U20" i="11"/>
  <c r="V20" i="11"/>
  <c r="W20" i="11"/>
  <c r="X20" i="11"/>
  <c r="Y20" i="11"/>
  <c r="Z20" i="11"/>
  <c r="C20" i="11"/>
  <c r="D34" i="15" l="1"/>
  <c r="R7" i="35"/>
  <c r="D80" i="15"/>
  <c r="E21" i="47"/>
  <c r="E26" i="47"/>
  <c r="I57" i="51" s="1"/>
  <c r="E76" i="51" s="1"/>
  <c r="E74" i="51" s="1"/>
  <c r="Q19" i="15"/>
  <c r="C37" i="47"/>
  <c r="C8" i="47"/>
  <c r="D4" i="47"/>
  <c r="Q18" i="15"/>
  <c r="I48" i="2"/>
  <c r="L20" i="5"/>
  <c r="E22" i="5"/>
  <c r="AL27" i="2"/>
  <c r="D10" i="15" s="1"/>
  <c r="C39" i="5"/>
  <c r="T48" i="2"/>
  <c r="D12" i="15" s="1"/>
  <c r="S60" i="2"/>
  <c r="Q60" i="2"/>
  <c r="C40" i="5"/>
  <c r="F38" i="2"/>
  <c r="AI38" i="2" s="1"/>
  <c r="F37" i="2"/>
  <c r="AI37" i="2" s="1"/>
  <c r="F36" i="2"/>
  <c r="AI36" i="2" s="1"/>
  <c r="F35" i="2"/>
  <c r="AI35" i="2" s="1"/>
  <c r="AI34" i="2"/>
  <c r="F33" i="2"/>
  <c r="AI33" i="2" s="1"/>
  <c r="F32" i="2"/>
  <c r="AI32" i="2" s="1"/>
  <c r="F31" i="2"/>
  <c r="AI31" i="2" s="1"/>
  <c r="F30" i="2"/>
  <c r="AI30" i="2" s="1"/>
  <c r="F28" i="2"/>
  <c r="AI28" i="2" s="1"/>
  <c r="L56" i="6"/>
  <c r="J78" i="15" s="1"/>
  <c r="K56" i="6"/>
  <c r="J56" i="6"/>
  <c r="I56" i="6"/>
  <c r="H56" i="6"/>
  <c r="G56" i="6"/>
  <c r="F56" i="6"/>
  <c r="E56" i="6"/>
  <c r="D56" i="6"/>
  <c r="C56" i="6"/>
  <c r="L55" i="6"/>
  <c r="K55" i="6"/>
  <c r="J55" i="6"/>
  <c r="I55" i="6"/>
  <c r="H55" i="6"/>
  <c r="G55" i="6"/>
  <c r="F55" i="6"/>
  <c r="E55" i="6"/>
  <c r="D55" i="6"/>
  <c r="C55" i="6"/>
  <c r="C20" i="6"/>
  <c r="C19" i="6"/>
  <c r="J19" i="6" s="1"/>
  <c r="K36" i="6"/>
  <c r="K35" i="6"/>
  <c r="K34" i="6"/>
  <c r="K33" i="6"/>
  <c r="K32" i="6"/>
  <c r="K31" i="6"/>
  <c r="K30" i="6"/>
  <c r="K29" i="6"/>
  <c r="L11" i="6" s="1"/>
  <c r="K28" i="6"/>
  <c r="K27" i="6"/>
  <c r="K26" i="6"/>
  <c r="K25" i="6"/>
  <c r="L7" i="6" s="1"/>
  <c r="S7" i="35" l="1"/>
  <c r="E78" i="51"/>
  <c r="I64" i="51"/>
  <c r="H74" i="51"/>
  <c r="I62" i="51" s="1"/>
  <c r="F21" i="47"/>
  <c r="E28" i="47" s="1"/>
  <c r="E27" i="47"/>
  <c r="C41" i="47"/>
  <c r="D37" i="47"/>
  <c r="E4" i="47"/>
  <c r="E9" i="47"/>
  <c r="I3" i="51" s="1"/>
  <c r="E22" i="51" s="1"/>
  <c r="E20" i="51" s="1"/>
  <c r="P77" i="15"/>
  <c r="D118" i="47" s="1"/>
  <c r="I78" i="15"/>
  <c r="L12" i="6"/>
  <c r="I31" i="15" s="1"/>
  <c r="I32" i="15" s="1"/>
  <c r="L13" i="6"/>
  <c r="J31" i="15" s="1"/>
  <c r="J32" i="15" s="1"/>
  <c r="L14" i="6"/>
  <c r="K31" i="15" s="1"/>
  <c r="K32" i="15" s="1"/>
  <c r="L15" i="6"/>
  <c r="L31" i="15" s="1"/>
  <c r="L32" i="15" s="1"/>
  <c r="L8" i="6"/>
  <c r="E31" i="15" s="1"/>
  <c r="E32" i="15" s="1"/>
  <c r="L16" i="6"/>
  <c r="M31" i="15" s="1"/>
  <c r="M32" i="15" s="1"/>
  <c r="L9" i="6"/>
  <c r="F31" i="15" s="1"/>
  <c r="F32" i="15" s="1"/>
  <c r="L17" i="6"/>
  <c r="N31" i="15" s="1"/>
  <c r="N32" i="15" s="1"/>
  <c r="L10" i="6"/>
  <c r="G31" i="15" s="1"/>
  <c r="G32" i="15" s="1"/>
  <c r="L18" i="6"/>
  <c r="O31" i="15" s="1"/>
  <c r="O32" i="15" s="1"/>
  <c r="H31" i="15"/>
  <c r="H32" i="15" s="1"/>
  <c r="I20" i="8"/>
  <c r="H40" i="5"/>
  <c r="H39" i="5"/>
  <c r="N27" i="5"/>
  <c r="AN36" i="2"/>
  <c r="AP36" i="2" s="1"/>
  <c r="K41" i="15"/>
  <c r="AN28" i="2"/>
  <c r="AP28" i="2" s="1"/>
  <c r="I49" i="2" s="1"/>
  <c r="AK28" i="2"/>
  <c r="AN37" i="2"/>
  <c r="AP37" i="2" s="1"/>
  <c r="AK37" i="2"/>
  <c r="AK34" i="2"/>
  <c r="AN34" i="2"/>
  <c r="AP34" i="2" s="1"/>
  <c r="J20" i="6"/>
  <c r="J41" i="15"/>
  <c r="AK30" i="2"/>
  <c r="AN30" i="2"/>
  <c r="AP30" i="2" s="1"/>
  <c r="AK38" i="2"/>
  <c r="AN38" i="2"/>
  <c r="AP38" i="2" s="1"/>
  <c r="M41" i="15"/>
  <c r="L41" i="15"/>
  <c r="K37" i="6"/>
  <c r="K38" i="6"/>
  <c r="AN31" i="2"/>
  <c r="AP31" i="2" s="1"/>
  <c r="AK31" i="2"/>
  <c r="AN32" i="2"/>
  <c r="AK32" i="2"/>
  <c r="F39" i="2" a="1"/>
  <c r="F39" i="2" s="1"/>
  <c r="N41" i="15"/>
  <c r="AN35" i="2"/>
  <c r="AP35" i="2" s="1"/>
  <c r="AK35" i="2"/>
  <c r="O41" i="15"/>
  <c r="AN33" i="2"/>
  <c r="AP33" i="2" s="1"/>
  <c r="I54" i="2" s="1"/>
  <c r="AK33" i="2"/>
  <c r="F41" i="15"/>
  <c r="I41" i="15"/>
  <c r="E41" i="15"/>
  <c r="H41" i="15"/>
  <c r="M55" i="6"/>
  <c r="M56" i="6"/>
  <c r="R13" i="35" l="1"/>
  <c r="S13" i="35" s="1"/>
  <c r="J80" i="15"/>
  <c r="R15" i="35"/>
  <c r="S15" i="35" s="1"/>
  <c r="L80" i="15"/>
  <c r="R12" i="35"/>
  <c r="S12" i="35" s="1"/>
  <c r="I80" i="15"/>
  <c r="R11" i="35"/>
  <c r="S11" i="35" s="1"/>
  <c r="H80" i="15"/>
  <c r="O80" i="15"/>
  <c r="R18" i="35"/>
  <c r="S18" i="35" s="1"/>
  <c r="R10" i="35"/>
  <c r="S10" i="35" s="1"/>
  <c r="G80" i="15"/>
  <c r="R14" i="35"/>
  <c r="S14" i="35" s="1"/>
  <c r="K80" i="15"/>
  <c r="R17" i="35"/>
  <c r="S17" i="35" s="1"/>
  <c r="N80" i="15"/>
  <c r="R8" i="35"/>
  <c r="E80" i="15"/>
  <c r="E37" i="47"/>
  <c r="E42" i="47"/>
  <c r="I30" i="51" s="1"/>
  <c r="E49" i="51" s="1"/>
  <c r="E47" i="51" s="1"/>
  <c r="E24" i="51"/>
  <c r="H20" i="51"/>
  <c r="I8" i="51" s="1"/>
  <c r="I10" i="51"/>
  <c r="F4" i="47"/>
  <c r="E11" i="47" s="1"/>
  <c r="E10" i="47"/>
  <c r="Q77" i="15"/>
  <c r="P78" i="15"/>
  <c r="Q78" i="15" s="1"/>
  <c r="D31" i="15"/>
  <c r="P31" i="15" s="1"/>
  <c r="C113" i="47" s="1"/>
  <c r="AL32" i="2"/>
  <c r="I10" i="15" s="1"/>
  <c r="I34" i="15"/>
  <c r="AL38" i="2"/>
  <c r="O10" i="15" s="1"/>
  <c r="O34" i="15"/>
  <c r="AL28" i="2"/>
  <c r="E10" i="15" s="1"/>
  <c r="E34" i="15"/>
  <c r="AL31" i="2"/>
  <c r="H10" i="15" s="1"/>
  <c r="H34" i="15"/>
  <c r="AL30" i="2"/>
  <c r="G10" i="15" s="1"/>
  <c r="G34" i="15"/>
  <c r="AL35" i="2"/>
  <c r="L10" i="15" s="1"/>
  <c r="L34" i="15"/>
  <c r="AL33" i="2"/>
  <c r="J10" i="15" s="1"/>
  <c r="J34" i="15"/>
  <c r="AL34" i="2"/>
  <c r="K10" i="15" s="1"/>
  <c r="K34" i="15"/>
  <c r="AL37" i="2"/>
  <c r="N10" i="15" s="1"/>
  <c r="N34" i="15"/>
  <c r="D27" i="15"/>
  <c r="N39" i="5"/>
  <c r="N40" i="5"/>
  <c r="P41" i="15"/>
  <c r="AN39" i="2" a="1"/>
  <c r="AN39" i="2" s="1"/>
  <c r="AP32" i="2"/>
  <c r="T58" i="2"/>
  <c r="N12" i="15" s="1"/>
  <c r="T49" i="2"/>
  <c r="E12" i="15" s="1"/>
  <c r="T59" i="2"/>
  <c r="O12" i="15" s="1"/>
  <c r="AQ28" i="2"/>
  <c r="E11" i="15" s="1"/>
  <c r="AQ38" i="2"/>
  <c r="O11" i="15" s="1"/>
  <c r="I59" i="2"/>
  <c r="T54" i="2"/>
  <c r="J12" i="15" s="1"/>
  <c r="AQ30" i="2"/>
  <c r="G11" i="15" s="1"/>
  <c r="I51" i="2"/>
  <c r="AQ37" i="2"/>
  <c r="N11" i="15" s="1"/>
  <c r="I58" i="2"/>
  <c r="AQ31" i="2"/>
  <c r="H11" i="15" s="1"/>
  <c r="I52" i="2"/>
  <c r="AQ35" i="2"/>
  <c r="L11" i="15" s="1"/>
  <c r="I56" i="2"/>
  <c r="AQ33" i="2"/>
  <c r="J11" i="15" s="1"/>
  <c r="L19" i="6"/>
  <c r="L20" i="6"/>
  <c r="T51" i="2"/>
  <c r="G12" i="15" s="1"/>
  <c r="AQ34" i="2"/>
  <c r="K11" i="15" s="1"/>
  <c r="I55" i="2"/>
  <c r="AI39" i="2" a="1"/>
  <c r="AI39" i="2" s="1"/>
  <c r="AK36" i="2"/>
  <c r="T52" i="2"/>
  <c r="H12" i="15" s="1"/>
  <c r="T56" i="2"/>
  <c r="L12" i="15" s="1"/>
  <c r="T53" i="2"/>
  <c r="I12" i="15" s="1"/>
  <c r="T55" i="2"/>
  <c r="K12" i="15" s="1"/>
  <c r="AQ36" i="2"/>
  <c r="M11" i="15" s="1"/>
  <c r="I57" i="2"/>
  <c r="M34" i="15" l="1"/>
  <c r="R16" i="35"/>
  <c r="S16" i="35" s="1"/>
  <c r="M80" i="15"/>
  <c r="S8" i="35"/>
  <c r="R20" i="35"/>
  <c r="R19" i="35"/>
  <c r="S19" i="35" s="1"/>
  <c r="D113" i="47"/>
  <c r="C117" i="47"/>
  <c r="I37" i="51"/>
  <c r="E51" i="51"/>
  <c r="H47" i="51"/>
  <c r="I35" i="51" s="1"/>
  <c r="F37" i="47"/>
  <c r="E44" i="47" s="1"/>
  <c r="E43" i="47"/>
  <c r="P34" i="15"/>
  <c r="D32" i="15"/>
  <c r="P32" i="15"/>
  <c r="Q32" i="15" s="1"/>
  <c r="Q31" i="15"/>
  <c r="D28" i="15"/>
  <c r="P27" i="15"/>
  <c r="AK39" i="2" a="1"/>
  <c r="AK39" i="2" s="1"/>
  <c r="C125" i="47" s="1"/>
  <c r="AL36" i="2"/>
  <c r="T57" i="2"/>
  <c r="AQ32" i="2"/>
  <c r="AP39" i="2" a="1"/>
  <c r="AP39" i="2" s="1"/>
  <c r="I53" i="2"/>
  <c r="I60" i="2" s="1"/>
  <c r="D125" i="47" l="1"/>
  <c r="C129" i="47"/>
  <c r="E113" i="47"/>
  <c r="E118" i="47"/>
  <c r="I161" i="51" s="1"/>
  <c r="E180" i="51" s="1"/>
  <c r="E178" i="51" s="1"/>
  <c r="Q34" i="15"/>
  <c r="T60" i="2"/>
  <c r="M12" i="15"/>
  <c r="P12" i="15" s="1"/>
  <c r="AL39" i="2" a="1"/>
  <c r="AL39" i="2" s="1"/>
  <c r="Q10" i="15" s="1"/>
  <c r="M10" i="15"/>
  <c r="AQ39" i="2" a="1"/>
  <c r="AQ39" i="2" s="1"/>
  <c r="Q11" i="15" s="1"/>
  <c r="I11" i="15"/>
  <c r="P28" i="15"/>
  <c r="Q28" i="15" s="1"/>
  <c r="E125" i="47" l="1"/>
  <c r="E130" i="47"/>
  <c r="E182" i="51"/>
  <c r="H178" i="51"/>
  <c r="I166" i="51" s="1"/>
  <c r="I168" i="51"/>
  <c r="E119" i="47"/>
  <c r="F113" i="47"/>
  <c r="E120" i="47" s="1"/>
  <c r="F125" i="47" l="1"/>
  <c r="E132" i="47" s="1"/>
  <c r="E131" i="4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Banerjee, Malay</author>
    <author>Pierre Fougerat</author>
    <author>Ibtihaz Newaz</author>
    <author>Tomassen, Menno</author>
  </authors>
  <commentList>
    <comment ref="M7" authorId="0" shapeId="0" xr:uid="{A8A6F68B-819A-40B5-BDAF-CB6E4B8C8ABE}">
      <text>
        <r>
          <rPr>
            <sz val="9"/>
            <color indexed="81"/>
            <rFont val="Tahoma"/>
            <family val="2"/>
          </rPr>
          <t>M BDT</t>
        </r>
      </text>
    </comment>
    <comment ref="N7" authorId="0" shapeId="0" xr:uid="{243877C8-B4F1-4789-9CC0-7CF44E84A173}">
      <text>
        <r>
          <rPr>
            <b/>
            <sz val="9"/>
            <color indexed="81"/>
            <rFont val="Tahoma"/>
            <family val="2"/>
          </rPr>
          <t>K Euro</t>
        </r>
      </text>
    </comment>
    <comment ref="O7" authorId="1" shapeId="0" xr:uid="{B1C9B721-26B7-4D3B-B965-1AEEB2EE067C}">
      <text>
        <r>
          <rPr>
            <sz val="8"/>
            <color indexed="81"/>
            <rFont val="Tahoma"/>
            <family val="2"/>
          </rPr>
          <t>Quality</t>
        </r>
      </text>
    </comment>
    <comment ref="P7" authorId="1" shapeId="0" xr:uid="{E0555B04-C563-43EE-B275-E67D13E1C6B6}">
      <text>
        <r>
          <rPr>
            <sz val="8"/>
            <color indexed="81"/>
            <rFont val="Tahoma"/>
            <family val="2"/>
          </rPr>
          <t>Costs</t>
        </r>
      </text>
    </comment>
    <comment ref="Q7" authorId="1" shapeId="0" xr:uid="{D02E7E82-C519-4BB2-BE1B-E7AFC1F910C5}">
      <text>
        <r>
          <rPr>
            <sz val="8"/>
            <color indexed="81"/>
            <rFont val="Tahoma"/>
            <family val="2"/>
          </rPr>
          <t>Volumes</t>
        </r>
      </text>
    </comment>
    <comment ref="R7" authorId="1" shapeId="0" xr:uid="{2820A5E1-5A25-4A03-930A-7F4F2C2589CA}">
      <text>
        <r>
          <rPr>
            <sz val="8"/>
            <color indexed="81"/>
            <rFont val="Tahoma"/>
            <family val="2"/>
          </rPr>
          <t>Delivery</t>
        </r>
      </text>
    </comment>
    <comment ref="S7" authorId="1" shapeId="0" xr:uid="{C52C5EDE-8E13-4BFC-93CE-9FAD42419DE2}">
      <text>
        <r>
          <rPr>
            <sz val="8"/>
            <color indexed="81"/>
            <rFont val="Tahoma"/>
            <family val="2"/>
          </rPr>
          <t>Innovations</t>
        </r>
      </text>
    </comment>
    <comment ref="T7" authorId="1" shapeId="0" xr:uid="{26C2B3AD-E9C5-460A-8C43-57CA3CCC2767}">
      <text>
        <r>
          <rPr>
            <sz val="8"/>
            <color indexed="81"/>
            <rFont val="Tahoma"/>
            <family val="2"/>
          </rPr>
          <t>Safety</t>
        </r>
      </text>
    </comment>
    <comment ref="U7" authorId="1" shapeId="0" xr:uid="{98084D75-CDE0-4660-8878-CBFFE68D3D6C}">
      <text>
        <r>
          <rPr>
            <sz val="8"/>
            <color indexed="81"/>
            <rFont val="Tahoma"/>
            <family val="2"/>
          </rPr>
          <t>Motivation</t>
        </r>
      </text>
    </comment>
    <comment ref="V7" authorId="1" shapeId="0" xr:uid="{04CA35BF-9C8D-4B67-905F-78752BD607A6}">
      <text>
        <r>
          <rPr>
            <sz val="8"/>
            <color indexed="81"/>
            <rFont val="Tahoma"/>
            <family val="2"/>
          </rPr>
          <t>Environnement</t>
        </r>
      </text>
    </comment>
    <comment ref="H8" authorId="2" shapeId="0" xr:uid="{E008E758-8825-4B9B-97D6-6B95DB3F195A}">
      <text>
        <r>
          <rPr>
            <sz val="9"/>
            <color indexed="81"/>
            <rFont val="Tahoma"/>
            <family val="2"/>
          </rPr>
          <t>YTD P3 Data.</t>
        </r>
      </text>
    </comment>
    <comment ref="N12" authorId="3" shapeId="0" xr:uid="{216D21C2-11D9-4BC5-B3D6-5D1ACA56B7C7}">
      <text>
        <r>
          <rPr>
            <b/>
            <sz val="9"/>
            <color indexed="81"/>
            <rFont val="Tahoma"/>
            <family val="2"/>
          </rPr>
          <t>Tomassen, Menno:</t>
        </r>
        <r>
          <rPr>
            <sz val="9"/>
            <color indexed="81"/>
            <rFont val="Tahoma"/>
            <family val="2"/>
          </rPr>
          <t xml:space="preserve">
Consider benefits as well as costs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tc={C77B6445-091B-49FB-BFF0-9F79F800802D}</author>
    <author>tc={0DF1A61A-5AB7-4F89-BC6A-3850E1B32071}</author>
    <author>tc={9901F09A-2F29-42EB-B804-5269993568CF}</author>
    <author>tc={AE05811E-B552-4980-9EB2-E19465EE3942}</author>
    <author>tc={D4D8E3C8-B2A4-4D2D-948B-DB737B72BEDC}</author>
    <author>tc={7D600F02-C97F-4BF8-BA74-1A953CAC70CA}</author>
    <author>tc={11542388-EDA7-41CB-A10C-EBADBBED208A}</author>
    <author>tc={ABBC909D-BDE0-4858-882A-6EEFC7745FB4}</author>
    <author>tc={25221695-B0D6-4D63-8697-C4F652DD686F}</author>
    <author>tc={11F0EE24-AF7F-4B71-90DB-BA38BFE4EF14}</author>
    <author>tc={A05086CF-7123-44EF-8A29-76D89A96ABEF}</author>
    <author>tc={0CC57B45-7BD3-43A0-B79E-B88D48191F9E}</author>
    <author>tc={83718294-4233-4085-89C0-0C8C4C7EB930}</author>
    <author>tc={D5FE7437-DFDC-470B-87FC-532C8B108828}</author>
    <author>tc={63014742-5D60-4C14-A1E3-82442B8CFB24}</author>
    <author>tc={8A9BC47F-8294-42E6-96AF-6AA8EABE3FC3}</author>
  </authors>
  <commentList>
    <comment ref="D19" authorId="0" shapeId="0" xr:uid="{C77B6445-091B-49FB-BFF0-9F79F800802D}">
      <text>
        <t>[Threaded comment]
Your version of Excel allows you to read this threaded comment; however, any edits to it will get removed if the file is opened in a newer version of Excel. Learn more: https://go.microsoft.com/fwlink/?linkid=870924
Comment:
    Year to go</t>
      </text>
    </comment>
    <comment ref="H19" authorId="1" shapeId="0" xr:uid="{0DF1A61A-5AB7-4F89-BC6A-3850E1B32071}">
      <text>
        <t xml:space="preserve">[Threaded comment]
Your version of Excel allows you to read this threaded comment; however, any edits to it will get removed if the file is opened in a newer version of Excel. Learn more: https://go.microsoft.com/fwlink/?linkid=870924
Comment:
    Required Run Rate
</t>
      </text>
    </comment>
    <comment ref="D46" authorId="2" shapeId="0" xr:uid="{9901F09A-2F29-42EB-B804-5269993568CF}">
      <text>
        <t>[Threaded comment]
Your version of Excel allows you to read this threaded comment; however, any edits to it will get removed if the file is opened in a newer version of Excel. Learn more: https://go.microsoft.com/fwlink/?linkid=870924
Comment:
    Year to go</t>
      </text>
    </comment>
    <comment ref="H46" authorId="3" shapeId="0" xr:uid="{AE05811E-B552-4980-9EB2-E19465EE3942}">
      <text>
        <t xml:space="preserve">[Threaded comment]
Your version of Excel allows you to read this threaded comment; however, any edits to it will get removed if the file is opened in a newer version of Excel. Learn more: https://go.microsoft.com/fwlink/?linkid=870924
Comment:
    Required Run Rate
</t>
      </text>
    </comment>
    <comment ref="D73" authorId="4" shapeId="0" xr:uid="{D4D8E3C8-B2A4-4D2D-948B-DB737B72BEDC}">
      <text>
        <t>[Threaded comment]
Your version of Excel allows you to read this threaded comment; however, any edits to it will get removed if the file is opened in a newer version of Excel. Learn more: https://go.microsoft.com/fwlink/?linkid=870924
Comment:
    Year to go</t>
      </text>
    </comment>
    <comment ref="H73" authorId="5" shapeId="0" xr:uid="{7D600F02-C97F-4BF8-BA74-1A953CAC70CA}">
      <text>
        <t xml:space="preserve">[Threaded comment]
Your version of Excel allows you to read this threaded comment; however, any edits to it will get removed if the file is opened in a newer version of Excel. Learn more: https://go.microsoft.com/fwlink/?linkid=870924
Comment:
    Required Run Rate
</t>
      </text>
    </comment>
    <comment ref="D99" authorId="6" shapeId="0" xr:uid="{11542388-EDA7-41CB-A10C-EBADBBED208A}">
      <text>
        <t>[Threaded comment]
Your version of Excel allows you to read this threaded comment; however, any edits to it will get removed if the file is opened in a newer version of Excel. Learn more: https://go.microsoft.com/fwlink/?linkid=870924
Comment:
    Year to go</t>
      </text>
    </comment>
    <comment ref="H99" authorId="7" shapeId="0" xr:uid="{ABBC909D-BDE0-4858-882A-6EEFC7745FB4}">
      <text>
        <t xml:space="preserve">[Threaded comment]
Your version of Excel allows you to read this threaded comment; however, any edits to it will get removed if the file is opened in a newer version of Excel. Learn more: https://go.microsoft.com/fwlink/?linkid=870924
Comment:
    Required Run Rate
</t>
      </text>
    </comment>
    <comment ref="D125" authorId="8" shapeId="0" xr:uid="{25221695-B0D6-4D63-8697-C4F652DD686F}">
      <text>
        <t>[Threaded comment]
Your version of Excel allows you to read this threaded comment; however, any edits to it will get removed if the file is opened in a newer version of Excel. Learn more: https://go.microsoft.com/fwlink/?linkid=870924
Comment:
    Year to go</t>
      </text>
    </comment>
    <comment ref="H125" authorId="9" shapeId="0" xr:uid="{11F0EE24-AF7F-4B71-90DB-BA38BFE4EF14}">
      <text>
        <t xml:space="preserve">[Threaded comment]
Your version of Excel allows you to read this threaded comment; however, any edits to it will get removed if the file is opened in a newer version of Excel. Learn more: https://go.microsoft.com/fwlink/?linkid=870924
Comment:
    Required Run Rate
</t>
      </text>
    </comment>
    <comment ref="D151" authorId="10" shapeId="0" xr:uid="{A05086CF-7123-44EF-8A29-76D89A96ABEF}">
      <text>
        <t>[Threaded comment]
Your version of Excel allows you to read this threaded comment; however, any edits to it will get removed if the file is opened in a newer version of Excel. Learn more: https://go.microsoft.com/fwlink/?linkid=870924
Comment:
    Year to go</t>
      </text>
    </comment>
    <comment ref="H151" authorId="11" shapeId="0" xr:uid="{0CC57B45-7BD3-43A0-B79E-B88D48191F9E}">
      <text>
        <t xml:space="preserve">[Threaded comment]
Your version of Excel allows you to read this threaded comment; however, any edits to it will get removed if the file is opened in a newer version of Excel. Learn more: https://go.microsoft.com/fwlink/?linkid=870924
Comment:
    Required Run Rate
</t>
      </text>
    </comment>
    <comment ref="D177" authorId="12" shapeId="0" xr:uid="{83718294-4233-4085-89C0-0C8C4C7EB930}">
      <text>
        <t>[Threaded comment]
Your version of Excel allows you to read this threaded comment; however, any edits to it will get removed if the file is opened in a newer version of Excel. Learn more: https://go.microsoft.com/fwlink/?linkid=870924
Comment:
    Year to go</t>
      </text>
    </comment>
    <comment ref="H177" authorId="13" shapeId="0" xr:uid="{D5FE7437-DFDC-470B-87FC-532C8B108828}">
      <text>
        <t xml:space="preserve">[Threaded comment]
Your version of Excel allows you to read this threaded comment; however, any edits to it will get removed if the file is opened in a newer version of Excel. Learn more: https://go.microsoft.com/fwlink/?linkid=870924
Comment:
    Required Run Rate
</t>
      </text>
    </comment>
    <comment ref="D204" authorId="14" shapeId="0" xr:uid="{63014742-5D60-4C14-A1E3-82442B8CFB24}">
      <text>
        <t>[Threaded comment]
Your version of Excel allows you to read this threaded comment; however, any edits to it will get removed if the file is opened in a newer version of Excel. Learn more: https://go.microsoft.com/fwlink/?linkid=870924
Comment:
    Year to go</t>
      </text>
    </comment>
    <comment ref="H204" authorId="15" shapeId="0" xr:uid="{8A9BC47F-8294-42E6-96AF-6AA8EABE3FC3}">
      <text>
        <t xml:space="preserve">[Threaded comment]
Your version of Excel allows you to read this threaded comment; however, any edits to it will get removed if the file is opened in a newer version of Excel. Learn more: https://go.microsoft.com/fwlink/?linkid=870924
Comment:
    Required Run Rate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tc={3C12F957-3F84-4F63-AD5A-0EC62C730DD7}</author>
    <author>tc={2FCFB491-D7D6-409F-943F-F1DADCCDBE76}</author>
  </authors>
  <commentList>
    <comment ref="E12" authorId="0" shapeId="0" xr:uid="{3C12F957-3F84-4F63-AD5A-0EC62C730DD7}">
      <text>
        <t>[Threaded comment]
Your version of Excel allows you to read this threaded comment; however, any edits to it will get removed if the file is opened in a newer version of Excel. Learn more: https://go.microsoft.com/fwlink/?linkid=870924
Comment:
    Total Trips are taken from the actual bill of that month</t>
      </text>
    </comment>
    <comment ref="D28" authorId="1" shapeId="0" xr:uid="{2FCFB491-D7D6-409F-943F-F1DADCCDBE76}">
      <text>
        <t>[Threaded comment]
Your version of Excel allows you to read this threaded comment; however, any edits to it will get removed if the file is opened in a newer version of Excel. Learn more: https://go.microsoft.com/fwlink/?linkid=870924
Comment:
    We start taking those data from August.</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<sst xmlns="http://schemas.openxmlformats.org/spreadsheetml/2006/main" count="6475" uniqueCount="1353">
  <si>
    <t>Teams Identity Card</t>
  </si>
  <si>
    <t>Site:</t>
  </si>
  <si>
    <t>MSBD-Midas Safety Bangladesh</t>
  </si>
  <si>
    <t>`</t>
  </si>
  <si>
    <t>N°</t>
  </si>
  <si>
    <t>Project Name/ Ideas</t>
  </si>
  <si>
    <t>Route
(Project type)</t>
  </si>
  <si>
    <t>Date</t>
  </si>
  <si>
    <t>Measure
Unit</t>
  </si>
  <si>
    <t>Initial
situation</t>
  </si>
  <si>
    <t>Target</t>
  </si>
  <si>
    <t>Last week/ Month data</t>
  </si>
  <si>
    <t>Results</t>
  </si>
  <si>
    <t>CO2 emission effect</t>
  </si>
  <si>
    <t>Annual Projected savings</t>
  </si>
  <si>
    <t>Impact</t>
  </si>
  <si>
    <t>Leader &amp; coleader</t>
  </si>
  <si>
    <t>Team type</t>
  </si>
  <si>
    <t>Sutainability Core Pillar</t>
  </si>
  <si>
    <t>Sutainability Secendary Pillar</t>
  </si>
  <si>
    <t>Idea Submited By</t>
  </si>
  <si>
    <t>Reapplication</t>
  </si>
  <si>
    <t>New  Application</t>
  </si>
  <si>
    <t>starting</t>
  </si>
  <si>
    <t>ending</t>
  </si>
  <si>
    <t>M BDT</t>
  </si>
  <si>
    <t>K USD</t>
  </si>
  <si>
    <t>Q</t>
  </si>
  <si>
    <t>C</t>
  </si>
  <si>
    <t>V</t>
  </si>
  <si>
    <t>D</t>
  </si>
  <si>
    <t>I</t>
  </si>
  <si>
    <t>S</t>
  </si>
  <si>
    <t>M</t>
  </si>
  <si>
    <t>E</t>
  </si>
  <si>
    <t>Yes / No</t>
  </si>
  <si>
    <t>Reduction of Material Rejection in Extruded Jelly Line (Ropes)</t>
  </si>
  <si>
    <t>12 Step Kaizen Route</t>
  </si>
  <si>
    <t>%</t>
  </si>
  <si>
    <t>1. 50% reduction of rejection
2. Positive impact on productivity &amp; cost savings</t>
  </si>
  <si>
    <t>X</t>
  </si>
  <si>
    <t>Jewel Rana</t>
  </si>
  <si>
    <t>Waste</t>
  </si>
  <si>
    <t>P</t>
  </si>
  <si>
    <t xml:space="preserve">Identifying Interested Customers- who are already taking sustainable packaging </t>
  </si>
  <si>
    <t>Mohammad Rajaul Karim, Rabby, Rifah</t>
  </si>
  <si>
    <t>Packaging</t>
  </si>
  <si>
    <t>Mohammad Rajaul Karim</t>
  </si>
  <si>
    <t>_</t>
  </si>
  <si>
    <t>Align to Group Sustainable Options- if there is any option which is not yet implemented at MSBD</t>
  </si>
  <si>
    <t>Proposing &amp; Implementation - New Customers</t>
  </si>
  <si>
    <t>-</t>
  </si>
  <si>
    <t xml:space="preserve">Discovering &amp; validation of new sustainable options </t>
  </si>
  <si>
    <t xml:space="preserve">Implementing Sustainable options to target Customers </t>
  </si>
  <si>
    <t xml:space="preserve">Expand implementation of existing options for all new &amp; existing customers </t>
  </si>
  <si>
    <t>Finding substitute of Shrink Wrap Poly</t>
  </si>
  <si>
    <t>Training record tracking in SAP system through TATS Portal</t>
  </si>
  <si>
    <t>Reduction of process water consumption without compromising product quality and performance</t>
  </si>
  <si>
    <t>Feb'24</t>
  </si>
  <si>
    <t>March'24</t>
  </si>
  <si>
    <t>L/DP</t>
  </si>
  <si>
    <t xml:space="preserve">ORRA, NAP &amp; NMP </t>
  </si>
  <si>
    <t>1.5 Kg/CBM</t>
  </si>
  <si>
    <t>Jahangir Alam, Shahjahan Hossain</t>
  </si>
  <si>
    <t>Yes</t>
  </si>
  <si>
    <t>Water</t>
  </si>
  <si>
    <t>Climate</t>
  </si>
  <si>
    <t>Jahangir Alam</t>
  </si>
  <si>
    <t>Connection of washing plant’s drain water in RO plant for recycle</t>
  </si>
  <si>
    <t>Around 1500 CBM/ Year water input will be available for the recycling plant. Approx. Product output will be 50%.</t>
  </si>
  <si>
    <t>Drinking water RO plant’s drain line connect to main RO plant for recycle</t>
  </si>
  <si>
    <t>June'24</t>
  </si>
  <si>
    <t>100 CM/ Year recyled/reuse water</t>
  </si>
  <si>
    <t>Waste water from the RO plant can be utilized for mixing drum washing.</t>
  </si>
  <si>
    <t>500 CBM/ Year reuse of RO rejected water</t>
  </si>
  <si>
    <t>Identification and rectification of all potential water leakage points</t>
  </si>
  <si>
    <t xml:space="preserve">Approx 250 CBM/ Year </t>
  </si>
  <si>
    <t>Equipment using to reduce consumption of water. (Paddel type water tap, installation Areator water tap)</t>
  </si>
  <si>
    <t>Rainwater capacity increase- Warehouse &amp; Unit-2</t>
  </si>
  <si>
    <t>May'24</t>
  </si>
  <si>
    <t>CBM</t>
  </si>
  <si>
    <t>Aminul Islam</t>
  </si>
  <si>
    <t>Introducing Smooth &amp; slow dipping process in the C&amp;S plant can help reduce compound wastage</t>
  </si>
  <si>
    <t>Onty Islam</t>
  </si>
  <si>
    <t>DM water addition in Special &amp; Orra Product can help to reduce methanol usages</t>
  </si>
  <si>
    <t>Khaled Md. Shiful Abeadin</t>
  </si>
  <si>
    <t>Product</t>
  </si>
  <si>
    <t>Use eco-friendly nets to minimize plastic waste</t>
  </si>
  <si>
    <t>Aminul Islam
Onty Islam</t>
  </si>
  <si>
    <t>Replacing manual poly cutting with a clinkering machine eliminates safety hazards, cuts labor costs, minimizes material waste, and improves worker ergonomics.</t>
  </si>
  <si>
    <t>Adjusting tank dimensions or geometry: Optimizing size and shape to minimize compound usage</t>
  </si>
  <si>
    <t>Onty Islam,
Jahangir Alam</t>
  </si>
  <si>
    <t>waste</t>
  </si>
  <si>
    <t>Implement automated loading/unloading or dotting head movement for greater consistency and reduced human error.</t>
  </si>
  <si>
    <t>Advanced temperature control systems for Glove Dotting Rejections</t>
  </si>
  <si>
    <t>Energy</t>
  </si>
  <si>
    <t>IoT-based energy monitoring system to track the energy consumption in the process</t>
  </si>
  <si>
    <t>Rifah Tasnia
Abu Sayeed</t>
  </si>
  <si>
    <t>VSM in packing Area</t>
  </si>
  <si>
    <t>Ibtihaz Newaz
Rifah Tasnia</t>
  </si>
  <si>
    <t>Inspecting the compressor in Unit-3 &amp; Unit-2 to identify the reasons behind its high energy consumption (Compressed Air Close Loop)</t>
  </si>
  <si>
    <t>Rifah Tasnia</t>
  </si>
  <si>
    <t>Identify the root causes of extra power consumption in each unit.</t>
  </si>
  <si>
    <t>Production floor overhead lights are connected in a series which need to change to reduce energy consumption.</t>
  </si>
  <si>
    <t>Burner modification or redesign to reduce fuel consumption and heat dissipation on the production floor.</t>
  </si>
  <si>
    <t>NMP product curing shifts to the drying chain to get the energy benefits</t>
  </si>
  <si>
    <t>Aminul</t>
  </si>
  <si>
    <t>Md. Akram Mostafa</t>
  </si>
  <si>
    <t>Biodegradable Packaging</t>
  </si>
  <si>
    <t>Abu Sayeed</t>
  </si>
  <si>
    <t>Methanol free product developement</t>
  </si>
  <si>
    <t xml:space="preserve">Khaled Md. Shiful Abeadin </t>
  </si>
  <si>
    <t>Pillar</t>
  </si>
  <si>
    <t>No of Project</t>
  </si>
  <si>
    <t>On going Project</t>
  </si>
  <si>
    <t>Completed Project</t>
  </si>
  <si>
    <t>Forcast Project</t>
  </si>
  <si>
    <t>Saving Ammount</t>
  </si>
  <si>
    <t>People</t>
  </si>
  <si>
    <t>Midas Safety Bangladesh- MSBD</t>
  </si>
  <si>
    <t>Electricity-2024</t>
  </si>
  <si>
    <t>Month</t>
  </si>
  <si>
    <t>Budget 24 (DP)</t>
  </si>
  <si>
    <t>Actual (DP)</t>
  </si>
  <si>
    <t>Actual KWH</t>
  </si>
  <si>
    <t>Target'24</t>
  </si>
  <si>
    <t>KWH/DP</t>
  </si>
  <si>
    <t>January</t>
  </si>
  <si>
    <t>February</t>
  </si>
  <si>
    <t>March</t>
  </si>
  <si>
    <t>April</t>
  </si>
  <si>
    <t>CRR (KWH/DP)</t>
  </si>
  <si>
    <t>May</t>
  </si>
  <si>
    <t>RRR (KWH/DP)</t>
  </si>
  <si>
    <t>June</t>
  </si>
  <si>
    <t>YTD KWH</t>
  </si>
  <si>
    <t>July</t>
  </si>
  <si>
    <t>YTG KWH</t>
  </si>
  <si>
    <t>August</t>
  </si>
  <si>
    <t>September</t>
  </si>
  <si>
    <t>October</t>
  </si>
  <si>
    <t>YTD Production</t>
  </si>
  <si>
    <t>November</t>
  </si>
  <si>
    <t>YTG Budget</t>
  </si>
  <si>
    <t>December</t>
  </si>
  <si>
    <t>YTD'2024</t>
  </si>
  <si>
    <t>Actual DP month count</t>
  </si>
  <si>
    <t>YTG Budget (DP)</t>
  </si>
  <si>
    <t>YTD+YTG (DP)</t>
  </si>
  <si>
    <t>RRR</t>
  </si>
  <si>
    <t>Avg KWH for</t>
  </si>
  <si>
    <t>Water-2024</t>
  </si>
  <si>
    <t>Actual m3</t>
  </si>
  <si>
    <t>m3/DP</t>
  </si>
  <si>
    <t>CRR (m3/DP)</t>
  </si>
  <si>
    <t>RRR (m3/DP)</t>
  </si>
  <si>
    <t>YTD m3</t>
  </si>
  <si>
    <t>YTG m3</t>
  </si>
  <si>
    <t>Avg m3 for</t>
  </si>
  <si>
    <t>Gas-2024</t>
  </si>
  <si>
    <t>Actual MMBTU</t>
  </si>
  <si>
    <t>MMBTU/DP</t>
  </si>
  <si>
    <t>CRR (MMBTU/DP)</t>
  </si>
  <si>
    <t>RRR (MMBTU/DP)</t>
  </si>
  <si>
    <t>YTD MMBTU</t>
  </si>
  <si>
    <t>YTG MMBTU</t>
  </si>
  <si>
    <t>Recycle Materials-2024</t>
  </si>
  <si>
    <t>Actual KG</t>
  </si>
  <si>
    <t>Kg/DP</t>
  </si>
  <si>
    <t>CRR (Kg/DP)</t>
  </si>
  <si>
    <t>RRR (Kg/DP)</t>
  </si>
  <si>
    <t>YTD Kg</t>
  </si>
  <si>
    <t>YTG Kg</t>
  </si>
  <si>
    <t>Avg Kg for</t>
  </si>
  <si>
    <t>Haz. Chem. Cons -2024</t>
  </si>
  <si>
    <t>Plastic Packaging -2024</t>
  </si>
  <si>
    <t>Actual Grm</t>
  </si>
  <si>
    <t>Gram/DP</t>
  </si>
  <si>
    <t>CRR (Grm/DP)</t>
  </si>
  <si>
    <t>RRR (Grm/DP)</t>
  </si>
  <si>
    <t>YTD Grm</t>
  </si>
  <si>
    <t>YTG Grm</t>
  </si>
  <si>
    <t>Avg Grm for</t>
  </si>
  <si>
    <t>Total Wastage -2024</t>
  </si>
  <si>
    <t>Actual Kg</t>
  </si>
  <si>
    <t>Scope 3 -2024</t>
  </si>
  <si>
    <t>Actual Ton</t>
  </si>
  <si>
    <t>Ton CO2/DP</t>
  </si>
  <si>
    <t>CRR (Ton CO2/DP)</t>
  </si>
  <si>
    <t>RRR (Ton CO2/DP)</t>
  </si>
  <si>
    <t>YTD Ton CO2</t>
  </si>
  <si>
    <t>YTG Ton CO2</t>
  </si>
  <si>
    <t>YTG Ton</t>
  </si>
  <si>
    <t>Avg Ton for</t>
  </si>
  <si>
    <t>Month Number</t>
  </si>
  <si>
    <t>Month name</t>
  </si>
  <si>
    <t>Electricity</t>
  </si>
  <si>
    <t>Electricity Consumption (KWH/DP)</t>
  </si>
  <si>
    <t xml:space="preserve">Electricity Consumption </t>
  </si>
  <si>
    <t>KWH</t>
  </si>
  <si>
    <t>Baseline</t>
  </si>
  <si>
    <t>2024 (Target)</t>
  </si>
  <si>
    <t>2025 (Target)</t>
  </si>
  <si>
    <t>2026 (Target)</t>
  </si>
  <si>
    <t>KWH / DP</t>
  </si>
  <si>
    <t>Year</t>
  </si>
  <si>
    <t>Actual</t>
  </si>
  <si>
    <t>Gas</t>
  </si>
  <si>
    <t>Gas Consumption (MMBTU/DP)</t>
  </si>
  <si>
    <t xml:space="preserve">Gas Consumption </t>
  </si>
  <si>
    <t>MMBTU</t>
  </si>
  <si>
    <t>MMBTU / DP</t>
  </si>
  <si>
    <t>Water Consumption (l/DP)</t>
  </si>
  <si>
    <t xml:space="preserve">Fresh Water Consumption </t>
  </si>
  <si>
    <t>Cubic Meter</t>
  </si>
  <si>
    <t>Liter / DP</t>
  </si>
  <si>
    <t>Scope 3 Reduction (Tons CO2 / DP)</t>
  </si>
  <si>
    <t>Scope 3 Reduction</t>
  </si>
  <si>
    <t>Ton CO2</t>
  </si>
  <si>
    <t>Ton CO2/ DP</t>
  </si>
  <si>
    <t>Till now we have 34 HCFC AC</t>
  </si>
  <si>
    <t>Plastic</t>
  </si>
  <si>
    <t>Plastic Consumption (grm/DP)</t>
  </si>
  <si>
    <t>Plastic Packaging</t>
  </si>
  <si>
    <t>KG</t>
  </si>
  <si>
    <t>Gm / DP</t>
  </si>
  <si>
    <t>Recyled Material Increase</t>
  </si>
  <si>
    <t>Recyled Material Consumption (grm/DP)</t>
  </si>
  <si>
    <t>Recycled Material Usage</t>
  </si>
  <si>
    <t>KG / DP</t>
  </si>
  <si>
    <t>Hazardous Chemical Consumed</t>
  </si>
  <si>
    <t>Hazardous Chemical Consumption (KG/DP)</t>
  </si>
  <si>
    <t>Wastage</t>
  </si>
  <si>
    <t>Total wastage (KG/DP)</t>
  </si>
  <si>
    <t>Total Waste Quantity</t>
  </si>
  <si>
    <t>Food wastage (KG/Employee)</t>
  </si>
  <si>
    <t>Food Waste</t>
  </si>
  <si>
    <t>KG / Employee</t>
  </si>
  <si>
    <t>Data Entry Sheet</t>
  </si>
  <si>
    <t>Omar Faruque / Rabby Hasan</t>
  </si>
  <si>
    <t>Mostafa Kamal Shojan</t>
  </si>
  <si>
    <t>Md. Mustafidul Islam Fahmid</t>
  </si>
  <si>
    <t>Kazi Asifur Rahman</t>
  </si>
  <si>
    <t>Parvez Alam</t>
  </si>
  <si>
    <t>Packaging Raw Data File</t>
  </si>
  <si>
    <t>Cat-1</t>
  </si>
  <si>
    <t>Import Data</t>
  </si>
  <si>
    <t>People- Incident Part</t>
  </si>
  <si>
    <t>Cat-3</t>
  </si>
  <si>
    <t>Climate-HCFC</t>
  </si>
  <si>
    <t>Material Consumption</t>
  </si>
  <si>
    <t>Environmental-Grievance</t>
  </si>
  <si>
    <t>Fuel for Shuttle Micro</t>
  </si>
  <si>
    <t>Impacts</t>
  </si>
  <si>
    <t>Chemical Consumption</t>
  </si>
  <si>
    <t>Environmental Cost</t>
  </si>
  <si>
    <t xml:space="preserve">Diesel </t>
  </si>
  <si>
    <t>Solar Generation</t>
  </si>
  <si>
    <t>Recyclable Material</t>
  </si>
  <si>
    <t>Business Travel</t>
  </si>
  <si>
    <t>Production-Ciospi</t>
  </si>
  <si>
    <t>Purchased Materials</t>
  </si>
  <si>
    <t>Wastage Raw Data</t>
  </si>
  <si>
    <t>Md. Shaiful Islam - HR</t>
  </si>
  <si>
    <t xml:space="preserve">Sharmin Akter Borsha </t>
  </si>
  <si>
    <t>Mohammad Anisur Rahman</t>
  </si>
  <si>
    <t xml:space="preserve">Shahjahan Hossain </t>
  </si>
  <si>
    <t xml:space="preserve">Onty Islam </t>
  </si>
  <si>
    <t>People- Gender Diversity</t>
  </si>
  <si>
    <t>People- Training</t>
  </si>
  <si>
    <t>Export Data</t>
  </si>
  <si>
    <t>Recycle Water</t>
  </si>
  <si>
    <t>Food Wastage</t>
  </si>
  <si>
    <t>Rain water Collection</t>
  </si>
  <si>
    <t>People- Hiring</t>
  </si>
  <si>
    <t>People- Attrition</t>
  </si>
  <si>
    <t>Action Items</t>
  </si>
  <si>
    <t>Unit</t>
  </si>
  <si>
    <t>Jan</t>
  </si>
  <si>
    <t>Feb</t>
  </si>
  <si>
    <t>Mar</t>
  </si>
  <si>
    <t>Apr</t>
  </si>
  <si>
    <t>Jun</t>
  </si>
  <si>
    <t>Jul</t>
  </si>
  <si>
    <t>Aug</t>
  </si>
  <si>
    <t>Sep</t>
  </si>
  <si>
    <t>Oct</t>
  </si>
  <si>
    <t>Nov</t>
  </si>
  <si>
    <t>Dec</t>
  </si>
  <si>
    <t>YTD</t>
  </si>
  <si>
    <t>Baseline
2020</t>
  </si>
  <si>
    <t>Achievement
2021</t>
  </si>
  <si>
    <t>Achievement
2022</t>
  </si>
  <si>
    <t>2023
%</t>
  </si>
  <si>
    <t>Remarks</t>
  </si>
  <si>
    <t>Production</t>
  </si>
  <si>
    <t>DP</t>
  </si>
  <si>
    <t>Reduction in safety related Incidents</t>
  </si>
  <si>
    <t>No.</t>
  </si>
  <si>
    <t>Gender Diversity</t>
  </si>
  <si>
    <t>%age</t>
  </si>
  <si>
    <t>Women in Management</t>
  </si>
  <si>
    <t>Training Hours / employee</t>
  </si>
  <si>
    <t>Hrs</t>
  </si>
  <si>
    <t>Reduce GHG emission (CFP)</t>
  </si>
  <si>
    <t>Tons</t>
  </si>
  <si>
    <t>Kg CO2 / DP</t>
  </si>
  <si>
    <t>Removing HCFC based refrigeration systems (R22)</t>
  </si>
  <si>
    <t>No</t>
  </si>
  <si>
    <t>Reduction in water Intake</t>
  </si>
  <si>
    <t>M3</t>
  </si>
  <si>
    <t>Recycle Used Water</t>
  </si>
  <si>
    <t>Reduce Electricity consumption</t>
  </si>
  <si>
    <t>Reduce Gas consumption</t>
  </si>
  <si>
    <t>Total Energy</t>
  </si>
  <si>
    <t>GJ</t>
  </si>
  <si>
    <t>GJ/DP</t>
  </si>
  <si>
    <t>Setup Solar on roof</t>
  </si>
  <si>
    <t>KW</t>
  </si>
  <si>
    <t>Reduce Total Waste</t>
  </si>
  <si>
    <t>g/DP</t>
  </si>
  <si>
    <t>Reduce food waste</t>
  </si>
  <si>
    <t>Kg</t>
  </si>
  <si>
    <t>g/person</t>
  </si>
  <si>
    <t>Increase use of recycled materials</t>
  </si>
  <si>
    <t>Chemical Reduction</t>
  </si>
  <si>
    <t>Plastic Free Packaging</t>
  </si>
  <si>
    <t>Material Consumed</t>
  </si>
  <si>
    <t xml:space="preserve">Local Purchase </t>
  </si>
  <si>
    <t>Production - Gloves</t>
  </si>
  <si>
    <t>Production - Yarn or Clothing</t>
  </si>
  <si>
    <t>Eq. Weight</t>
  </si>
  <si>
    <t>Eq.Production</t>
  </si>
  <si>
    <t>PCs*</t>
  </si>
  <si>
    <t>Total</t>
  </si>
  <si>
    <t>Average</t>
  </si>
  <si>
    <t>*where applicable</t>
  </si>
  <si>
    <t>Incident Reporting</t>
  </si>
  <si>
    <t>Who will Entry the data</t>
  </si>
  <si>
    <t>LTI</t>
  </si>
  <si>
    <t>MTC</t>
  </si>
  <si>
    <t>Fatality</t>
  </si>
  <si>
    <t>FAC</t>
  </si>
  <si>
    <t>No of Spill</t>
  </si>
  <si>
    <t>Spill (Kg)</t>
  </si>
  <si>
    <t>Fire</t>
  </si>
  <si>
    <t>Total Incidents</t>
  </si>
  <si>
    <t>Workman Hours</t>
  </si>
  <si>
    <t>TRIR</t>
  </si>
  <si>
    <t>Work-Related Ill Health</t>
  </si>
  <si>
    <t>Gender Diversity, Women In Management</t>
  </si>
  <si>
    <t>Worker who are not employees (GRI 2-8)</t>
  </si>
  <si>
    <t>Management 
(O1 &amp; Above)</t>
  </si>
  <si>
    <t>Worker 
(S &amp; Below Including Contractors)</t>
  </si>
  <si>
    <t>3rd Party 
(Production PC rate)</t>
  </si>
  <si>
    <t>Male</t>
  </si>
  <si>
    <t>Female</t>
  </si>
  <si>
    <t>Worker</t>
  </si>
  <si>
    <t>Workerforce</t>
  </si>
  <si>
    <t>Women In Management</t>
  </si>
  <si>
    <t>Under 30</t>
  </si>
  <si>
    <t>30-50</t>
  </si>
  <si>
    <t>Over 50</t>
  </si>
  <si>
    <t>TTL</t>
  </si>
  <si>
    <t>Female %</t>
  </si>
  <si>
    <t>Shaiful Islam- HR</t>
  </si>
  <si>
    <t>*Including S1 and S2 cadre
*Do not include 3rd party like janitorial, security, drivers, Canteen</t>
  </si>
  <si>
    <t>*Provide number of only 3rd party like janitorial, security, drivers, canteen</t>
  </si>
  <si>
    <t>*Provide 3rd Party contract workfoce used for engineering projects, intsallations, maintennance etc.</t>
  </si>
  <si>
    <t xml:space="preserve">Training Hours </t>
  </si>
  <si>
    <t>Management</t>
  </si>
  <si>
    <t>Security Personnel Training</t>
  </si>
  <si>
    <t>Number of  Participants</t>
  </si>
  <si>
    <t>Total man-hours Training</t>
  </si>
  <si>
    <t>Training Hours Per Employee</t>
  </si>
  <si>
    <t>Total Training Hours</t>
  </si>
  <si>
    <t>Total Training Hours Per Employee</t>
  </si>
  <si>
    <t>No. of Security Persons</t>
  </si>
  <si>
    <t>No. of Security Persons Trained in a month</t>
  </si>
  <si>
    <t>Total No. of Security Persons Trained To Date</t>
  </si>
  <si>
    <t>%Age of Security Persons Trained To Date</t>
  </si>
  <si>
    <t>Training</t>
  </si>
  <si>
    <t xml:space="preserve">              -   </t>
  </si>
  <si>
    <t xml:space="preserve">             -  </t>
  </si>
  <si>
    <t/>
  </si>
  <si>
    <t>Hiring</t>
  </si>
  <si>
    <t>Management
(O1 &amp; Above)</t>
  </si>
  <si>
    <t>Attrition</t>
  </si>
  <si>
    <t> </t>
  </si>
  <si>
    <t>HCFC</t>
  </si>
  <si>
    <t>HCFC Refrigeration Units / Equipment Total</t>
  </si>
  <si>
    <t>Refrigeration Units / Equipment  replaced with HCFC Free</t>
  </si>
  <si>
    <t>Current</t>
  </si>
  <si>
    <t>Refrigerent Gases in Kg</t>
  </si>
  <si>
    <t>CFC-11 Equivalent
(Tons)</t>
  </si>
  <si>
    <t>R22</t>
  </si>
  <si>
    <t>R134a</t>
  </si>
  <si>
    <t>R410a</t>
  </si>
  <si>
    <t>R407</t>
  </si>
  <si>
    <t>R32</t>
  </si>
  <si>
    <t>R141B</t>
  </si>
  <si>
    <t>R-12 (CFC-12)</t>
  </si>
  <si>
    <t>R407A</t>
  </si>
  <si>
    <t>R-11 (CFC-11)</t>
  </si>
  <si>
    <t>Refrigerent</t>
  </si>
  <si>
    <t>Linked with Cat1</t>
  </si>
  <si>
    <t>Conversion Factors</t>
  </si>
  <si>
    <t>R-22</t>
  </si>
  <si>
    <t xml:space="preserve">https://wedocs.unep.org/bitstream/handle/20.500.11822/28245/7790ODPRef_EN.pdf?sequence=1&amp;isAllowed=y </t>
  </si>
  <si>
    <t>R-141B</t>
  </si>
  <si>
    <t>R-12</t>
  </si>
  <si>
    <t>CFC-11</t>
  </si>
  <si>
    <t>R-410a</t>
  </si>
  <si>
    <t>R-407</t>
  </si>
  <si>
    <t xml:space="preserve">https://www.epa.gov/ozone-layer-protection/ozone-depleting-substances </t>
  </si>
  <si>
    <t>R-32</t>
  </si>
  <si>
    <t>R-134a</t>
  </si>
  <si>
    <t>R-407a</t>
  </si>
  <si>
    <t>Water Withdrawl (m3)</t>
  </si>
  <si>
    <t>BL1 Consumption</t>
  </si>
  <si>
    <t>BL2 Consumption</t>
  </si>
  <si>
    <t>RO 1 &amp; 2 Rejection</t>
  </si>
  <si>
    <t>Total water</t>
  </si>
  <si>
    <t>Bore 
(Ground Water)</t>
  </si>
  <si>
    <t>Tanker / bouser</t>
  </si>
  <si>
    <t>Municipality</t>
  </si>
  <si>
    <t>Conversion Factor</t>
  </si>
  <si>
    <t>1 M3 = 1000 Liters</t>
  </si>
  <si>
    <t>Avg</t>
  </si>
  <si>
    <t>1 Mega liter = 1000 M3</t>
  </si>
  <si>
    <t>BL1, BL2 Consumption and RO 1 &amp; 2 Rejection to be filled by Beltexco only</t>
  </si>
  <si>
    <t>Recycle Water, Water Discharge, Consumption (m3)</t>
  </si>
  <si>
    <t>Rainwater harvesting (m3)</t>
  </si>
  <si>
    <t>Total Intake water in IHPL (m3)</t>
  </si>
  <si>
    <t>Discharge</t>
  </si>
  <si>
    <t>Consumption</t>
  </si>
  <si>
    <t>Water recovered</t>
  </si>
  <si>
    <t>Before the Audit, we calculated the intake as only Municipality. Now for H2, we are calculating intake as Municipality + Rain water. But can not update in the portal.</t>
  </si>
  <si>
    <t>CFP-KG CO2e</t>
  </si>
  <si>
    <t>SCOPE 1</t>
  </si>
  <si>
    <t>SCOPE 2</t>
  </si>
  <si>
    <t>SCOPE 3</t>
  </si>
  <si>
    <t>Direct GHG Emissions and Removals</t>
  </si>
  <si>
    <t>Indirect GHG Emissions from Imported Electricity</t>
  </si>
  <si>
    <t>Indirect GHG Emissions from Transportation</t>
  </si>
  <si>
    <t>Indirect GHG Emissions from Other Sources</t>
  </si>
  <si>
    <t>Linked with Cat Files</t>
  </si>
  <si>
    <t>Stationery Consumption</t>
  </si>
  <si>
    <t>Mobile Consumption</t>
  </si>
  <si>
    <t>Fugitive Emissions</t>
  </si>
  <si>
    <t>Purchased Electricity</t>
  </si>
  <si>
    <t>Import Transportation &amp; Distribution of Goods</t>
  </si>
  <si>
    <t>Export Transportation &amp; Distribution of Goods</t>
  </si>
  <si>
    <t>Employee Commuting (Micro)</t>
  </si>
  <si>
    <t>Employee Commuting (Bus)</t>
  </si>
  <si>
    <t>T&amp;D Losses</t>
  </si>
  <si>
    <t>Disposal of Solid Waste</t>
  </si>
  <si>
    <t>Hazardous Waste (Kg)</t>
  </si>
  <si>
    <t>Total
Waste Generated (Tons)</t>
  </si>
  <si>
    <t>Composting (Kg)</t>
  </si>
  <si>
    <t>Linked with Wastage</t>
  </si>
  <si>
    <t>Chemical</t>
  </si>
  <si>
    <t>Used Oil</t>
  </si>
  <si>
    <t>Medical</t>
  </si>
  <si>
    <t>Oily Fabric</t>
  </si>
  <si>
    <t>Waste Chemical Container</t>
  </si>
  <si>
    <t>E-waste</t>
  </si>
  <si>
    <t>Other</t>
  </si>
  <si>
    <t>Total Hazardous</t>
  </si>
  <si>
    <t>Before</t>
  </si>
  <si>
    <t>After</t>
  </si>
  <si>
    <t xml:space="preserve">Segregated &amp; Food </t>
  </si>
  <si>
    <t xml:space="preserve">Jan </t>
  </si>
  <si>
    <t>wastage</t>
  </si>
  <si>
    <t>Non-Hazardous Waste (Kg)</t>
  </si>
  <si>
    <t>Total Non-Hazardous</t>
  </si>
  <si>
    <t>Paper</t>
  </si>
  <si>
    <t>Metal</t>
  </si>
  <si>
    <t>Textile</t>
  </si>
  <si>
    <t>Wood</t>
  </si>
  <si>
    <t>Cooked Food</t>
  </si>
  <si>
    <t>Kitchen Waste</t>
  </si>
  <si>
    <t>Waste Sold Out (KG)</t>
  </si>
  <si>
    <t>Cotton Waste</t>
  </si>
  <si>
    <t>Other waste (Floor dust)</t>
  </si>
  <si>
    <t>Textile
To SGL</t>
  </si>
  <si>
    <t>Textile
To 3rd party</t>
  </si>
  <si>
    <t>Total Waste Sold Out</t>
  </si>
  <si>
    <t>Non-Renewable Energy</t>
  </si>
  <si>
    <t>Only for SGL-SU+MKU</t>
  </si>
  <si>
    <t>Renewable Energy</t>
  </si>
  <si>
    <t xml:space="preserve">In- House Electricity </t>
  </si>
  <si>
    <t>Rented Warehouse Electricity</t>
  </si>
  <si>
    <t>Total
Electricity</t>
  </si>
  <si>
    <t>Diesel</t>
  </si>
  <si>
    <t>Furnance Oil</t>
  </si>
  <si>
    <t xml:space="preserve">LPG </t>
  </si>
  <si>
    <t>In-house Electricity Generation</t>
  </si>
  <si>
    <t>Biomass</t>
  </si>
  <si>
    <t>Solar Installed Capacity</t>
  </si>
  <si>
    <t>Wind Installed Capacity</t>
  </si>
  <si>
    <t>Solar PV generated</t>
  </si>
  <si>
    <t>Wind Generated</t>
  </si>
  <si>
    <t>Hydro Generated</t>
  </si>
  <si>
    <t>KWh</t>
  </si>
  <si>
    <t>Liters</t>
  </si>
  <si>
    <t>Generation %</t>
  </si>
  <si>
    <t>Linked with Electricity</t>
  </si>
  <si>
    <t>Gas, CAT files source</t>
  </si>
  <si>
    <t>Energy in Giga Joules</t>
  </si>
  <si>
    <t>Solar</t>
  </si>
  <si>
    <t>Wind</t>
  </si>
  <si>
    <t>Hydro</t>
  </si>
  <si>
    <t>1 MMBTU = 1.055 GJ</t>
  </si>
  <si>
    <t>1 KWh = 0.0036 GJ</t>
  </si>
  <si>
    <t>1 Lit Diesel = 0.03829 GJ</t>
  </si>
  <si>
    <t>1 Lit Furnance Oil = 0.03829 GJ</t>
  </si>
  <si>
    <t>1 Kg LGP = 0.04993 GJ</t>
  </si>
  <si>
    <t>1 Kg Biomass = 2550 Kcal</t>
  </si>
  <si>
    <t>1 Kcal = 0.000004184 GJ</t>
  </si>
  <si>
    <t>Efficiency of Biomass heaters= 70.8%</t>
  </si>
  <si>
    <t>Conversion factors are taken from US Energy Information Administration (EIA)</t>
  </si>
  <si>
    <t>Recycled Material Used</t>
  </si>
  <si>
    <t>Hazard Chemical Used (Kg)</t>
  </si>
  <si>
    <t>Product Material Compliance Complaint</t>
  </si>
  <si>
    <t>Nature of Complaint</t>
  </si>
  <si>
    <t>In-house
(SGL)</t>
  </si>
  <si>
    <t>SPU</t>
  </si>
  <si>
    <t>DMF</t>
  </si>
  <si>
    <t>From Outside Source</t>
  </si>
  <si>
    <t>Total Recycled Material</t>
  </si>
  <si>
    <t>Isopar H</t>
  </si>
  <si>
    <t>Ethanol</t>
  </si>
  <si>
    <t>Methanol</t>
  </si>
  <si>
    <t>Stabilizer</t>
  </si>
  <si>
    <t>Methylene Chloride</t>
  </si>
  <si>
    <t xml:space="preserve">Linked with Recycle </t>
  </si>
  <si>
    <t>Recovered from the plant</t>
  </si>
  <si>
    <t>Recovered DMF consumed in the same month.</t>
  </si>
  <si>
    <t>Lasta B DE</t>
  </si>
  <si>
    <t>Mark 4119</t>
  </si>
  <si>
    <t>BS-101</t>
  </si>
  <si>
    <t>LCZ-380AH/01</t>
  </si>
  <si>
    <t xml:space="preserve">Materials and </t>
  </si>
  <si>
    <t>Materials - Renewable (Kg)</t>
  </si>
  <si>
    <t>Materials - Non - Renewable (Kg)</t>
  </si>
  <si>
    <t>Yarn Natural Resource</t>
  </si>
  <si>
    <t>Rubber Latex</t>
  </si>
  <si>
    <t>Natural Liners 
(Eg. Cotton)</t>
  </si>
  <si>
    <t>Natural Fabric 
(Eg. Cotton)</t>
  </si>
  <si>
    <t>Others (Specify)</t>
  </si>
  <si>
    <t xml:space="preserve">Yarn </t>
  </si>
  <si>
    <t>Chemicals</t>
  </si>
  <si>
    <t>Liners</t>
  </si>
  <si>
    <t>Accessories</t>
  </si>
  <si>
    <t>Fabric</t>
  </si>
  <si>
    <t>Packaging Material</t>
  </si>
  <si>
    <t>Process Material</t>
  </si>
  <si>
    <t xml:space="preserve">Linked with Meterial </t>
  </si>
  <si>
    <t>consumption &amp; Packaging</t>
  </si>
  <si>
    <t>*Materials from Natural resource are Raw materials</t>
  </si>
  <si>
    <t>**Machines and Parts are not to be included.</t>
  </si>
  <si>
    <t>Purchased Materials (USD)</t>
  </si>
  <si>
    <t>Linked with Purchased data</t>
  </si>
  <si>
    <t>Local Purchase</t>
  </si>
  <si>
    <t>Import</t>
  </si>
  <si>
    <t>Local Purchase %ages</t>
  </si>
  <si>
    <t>Definitions</t>
  </si>
  <si>
    <r>
      <rPr>
        <b/>
        <sz val="11"/>
        <color rgb="FFFF0000"/>
        <rFont val="Trebuchet MS"/>
        <family val="2"/>
      </rPr>
      <t>Raw materials</t>
    </r>
    <r>
      <rPr>
        <b/>
        <sz val="11"/>
        <color theme="1"/>
        <rFont val="Trebuchet MS"/>
        <family val="2"/>
      </rPr>
      <t>, i.e., natural resources used for conversion to products or services, such as ores, minerals, and wood</t>
    </r>
  </si>
  <si>
    <r>
      <rPr>
        <b/>
        <sz val="11"/>
        <color rgb="FFFF0000"/>
        <rFont val="Trebuchet MS"/>
        <family val="2"/>
      </rPr>
      <t>Process materials</t>
    </r>
    <r>
      <rPr>
        <b/>
        <sz val="11"/>
        <color theme="1"/>
        <rFont val="Trebuchet MS"/>
        <family val="2"/>
      </rPr>
      <t>, i.e., materials that are needed for the manufacturing process but are not part of the final product, such as lubricants for manufacturing machinery</t>
    </r>
  </si>
  <si>
    <r>
      <rPr>
        <b/>
        <sz val="11"/>
        <color rgb="FFFF0000"/>
        <rFont val="Trebuchet MS"/>
        <family val="2"/>
      </rPr>
      <t>Semi-manufactured goods</t>
    </r>
    <r>
      <rPr>
        <b/>
        <sz val="11"/>
        <color theme="1"/>
        <rFont val="Trebuchet MS"/>
        <family val="2"/>
      </rPr>
      <t xml:space="preserve"> or parts, including all forms of materials and components other
than raw materials that are part of the final product;</t>
    </r>
  </si>
  <si>
    <r>
      <rPr>
        <b/>
        <sz val="11"/>
        <color rgb="FFFF0000"/>
        <rFont val="Trebuchet MS"/>
        <family val="2"/>
      </rPr>
      <t>Packaging Material,</t>
    </r>
    <r>
      <rPr>
        <b/>
        <sz val="11"/>
        <color theme="1"/>
        <rFont val="Trebuchet MS"/>
        <family val="2"/>
      </rPr>
      <t xml:space="preserve"> i.e. materials for packaging purposes, including paper, cardboard and plastics;</t>
    </r>
  </si>
  <si>
    <r>
      <rPr>
        <b/>
        <sz val="11"/>
        <color rgb="FFFF0000"/>
        <rFont val="Trebuchet MS"/>
        <family val="2"/>
      </rPr>
      <t>Renewable Materials</t>
    </r>
    <r>
      <rPr>
        <b/>
        <sz val="11"/>
        <color theme="1"/>
        <rFont val="Trebuchet MS"/>
        <family val="2"/>
      </rPr>
      <t xml:space="preserve">, i.e. material that is derived from plentiful resources that are quickly replenished by ecological cycles or
agricultural processes, so that the services </t>
    </r>
  </si>
  <si>
    <r>
      <rPr>
        <b/>
        <sz val="11"/>
        <color rgb="FFFF0000"/>
        <rFont val="Trebuchet MS"/>
        <family val="2"/>
      </rPr>
      <t xml:space="preserve">Non-Renewable material, </t>
    </r>
    <r>
      <rPr>
        <b/>
        <sz val="11"/>
        <color theme="1"/>
        <rFont val="Trebuchet MS"/>
        <family val="2"/>
      </rPr>
      <t>i.e. resource that does not renew in short time periods
Note: Examples of non-renewable materials can include minerals, metals, oil, gas, or coal</t>
    </r>
  </si>
  <si>
    <t>*All purchases of goods and services to be included</t>
  </si>
  <si>
    <t>Packaging (Kg)</t>
  </si>
  <si>
    <t>Virgin Paper</t>
  </si>
  <si>
    <t>Recycled Paper</t>
  </si>
  <si>
    <t>Carton</t>
  </si>
  <si>
    <t>Other Packaging material</t>
  </si>
  <si>
    <t>Total Packaging</t>
  </si>
  <si>
    <t>Recycled Plastic</t>
  </si>
  <si>
    <t>Plastic %age</t>
  </si>
  <si>
    <t>Recycled Paper %age</t>
  </si>
  <si>
    <t xml:space="preserve">Linked with Packaging </t>
  </si>
  <si>
    <t>Raw data</t>
  </si>
  <si>
    <t>Plastic in Packaging</t>
  </si>
  <si>
    <t>Total Plastic Packaging</t>
  </si>
  <si>
    <t>Others</t>
  </si>
  <si>
    <t>Recycled Plastic %age</t>
  </si>
  <si>
    <t>US</t>
  </si>
  <si>
    <t>EU</t>
  </si>
  <si>
    <t>To be filled in by:</t>
  </si>
  <si>
    <t>Units Name:</t>
  </si>
  <si>
    <t>MSBDL</t>
  </si>
  <si>
    <t>Environment Grievance Register</t>
  </si>
  <si>
    <t>Grievance Code</t>
  </si>
  <si>
    <t>Name of person raising grievance</t>
  </si>
  <si>
    <t>Organization</t>
  </si>
  <si>
    <t>Designation</t>
  </si>
  <si>
    <t>Phone No</t>
  </si>
  <si>
    <t>E-mail</t>
  </si>
  <si>
    <t>Address</t>
  </si>
  <si>
    <t>Midas Business Unit</t>
  </si>
  <si>
    <t>Details of grievance</t>
  </si>
  <si>
    <t>Validity</t>
  </si>
  <si>
    <t>Severity</t>
  </si>
  <si>
    <t>Investigated by-1</t>
  </si>
  <si>
    <t>Investigated by-2</t>
  </si>
  <si>
    <t>Investigated by-3</t>
  </si>
  <si>
    <t>Investigated by-4</t>
  </si>
  <si>
    <t>Status
(Open/Closed)</t>
  </si>
  <si>
    <t>Environmental Grievance</t>
  </si>
  <si>
    <t>Environmental Services</t>
  </si>
  <si>
    <t>Service Description</t>
  </si>
  <si>
    <t>Document No</t>
  </si>
  <si>
    <t xml:space="preserve"> Price </t>
  </si>
  <si>
    <t xml:space="preserve"> Price in Dollar </t>
  </si>
  <si>
    <t>Dollar Rate</t>
  </si>
  <si>
    <t xml:space="preserve">PR# </t>
  </si>
  <si>
    <t>PO#</t>
  </si>
  <si>
    <t>Asset#</t>
  </si>
  <si>
    <t>Invoice#</t>
  </si>
  <si>
    <t>Responsible</t>
  </si>
  <si>
    <t>Environmental Liscences</t>
  </si>
  <si>
    <t>Environmental Testing</t>
  </si>
  <si>
    <t>ISO 14001 Audit/Certification</t>
  </si>
  <si>
    <t>Expenditure on Waste Disposal</t>
  </si>
  <si>
    <t>Expenditure on cleaner technologies</t>
  </si>
  <si>
    <t>Environmental Trainings</t>
  </si>
  <si>
    <t>Emission Treatment Costs</t>
  </si>
  <si>
    <t>Other Environment Management Costs</t>
  </si>
  <si>
    <t>Waste water treatment from BEPZA</t>
  </si>
  <si>
    <t>Bepza Water Treatment</t>
  </si>
  <si>
    <t>Finance</t>
  </si>
  <si>
    <t>Feburary</t>
  </si>
  <si>
    <t>Stack emission, indoor air quality and noise test</t>
  </si>
  <si>
    <t>#0347585</t>
  </si>
  <si>
    <t>HSE</t>
  </si>
  <si>
    <t>#0347613</t>
  </si>
  <si>
    <t>License renewal</t>
  </si>
  <si>
    <t>Environment license renewal fee</t>
  </si>
  <si>
    <t>Admin</t>
  </si>
  <si>
    <t>ISO 14001 recertification audit</t>
  </si>
  <si>
    <t>ELECTRICITY</t>
  </si>
  <si>
    <t>Replacement of Non-Inverter AC'S with Inverter AC's</t>
  </si>
  <si>
    <t>KW/Motor</t>
  </si>
  <si>
    <t>Replacement of Ceiling fans with AC/DC Ceiling fans</t>
  </si>
  <si>
    <t>Replacement of Clutch motors with Servo motors</t>
  </si>
  <si>
    <t>Replacement of Mercury Bulbs with LED lights</t>
  </si>
  <si>
    <t>Replacement of tubelights with LED lights</t>
  </si>
  <si>
    <t>Variable Frequency drives (VFD) Installed</t>
  </si>
  <si>
    <t>Compressed Air Leakage fixing</t>
  </si>
  <si>
    <t xml:space="preserve">CFRV ( Control Fluid Regulating Valve) to reduce chiller load </t>
  </si>
  <si>
    <t>Replaced Effluent Transfer Pumps with high efficiency pumps</t>
  </si>
  <si>
    <t>Replaced Desert Air Cooler AC pumps with high efficiency DC Pumps</t>
  </si>
  <si>
    <t>Others ( Please specify)</t>
  </si>
  <si>
    <t>Induction of Compressor 55 KW IE5 motor</t>
  </si>
  <si>
    <t>Replacement of Conventional induction motor with IE3</t>
  </si>
  <si>
    <t>RENEWABLE ENERGY</t>
  </si>
  <si>
    <t>Electricity generated from Solar (kWhr)</t>
  </si>
  <si>
    <t>Electricity generated from Wind (kWhr)</t>
  </si>
  <si>
    <t>Electricity generated from Hydel (kWhr)</t>
  </si>
  <si>
    <t>Energy generated from Biomass (gJ)</t>
  </si>
  <si>
    <t>Others ( Please Specify) (gJ) / (kWhr)</t>
  </si>
  <si>
    <t>WATER (m3)</t>
  </si>
  <si>
    <t>Use of Ultra filteration Backwash water</t>
  </si>
  <si>
    <t>Flush tank capacity reduction water saving in washrooms</t>
  </si>
  <si>
    <t>Induction of washer Extractor, replacing old washing</t>
  </si>
  <si>
    <t>AC water reused</t>
  </si>
  <si>
    <t>Others ( Please Specify)</t>
  </si>
  <si>
    <t>PLANTATION</t>
  </si>
  <si>
    <t>Indoor Plants</t>
  </si>
  <si>
    <t>Trees Planted</t>
  </si>
  <si>
    <t>WASTE REDUCTION (Kg)</t>
  </si>
  <si>
    <t>Food waste reduction through awareness compaign</t>
  </si>
  <si>
    <t>Onty</t>
  </si>
  <si>
    <t>Reuse Cartons</t>
  </si>
  <si>
    <t>Reused yarn bags for internal packaging</t>
  </si>
  <si>
    <t>Paper Reduction Through digitization and simplification [Pieces]</t>
  </si>
  <si>
    <t>Composting</t>
  </si>
  <si>
    <t>Seperation of solid waste from liquid waste</t>
  </si>
  <si>
    <t>Food waste reduction through making organic compost</t>
  </si>
  <si>
    <t>Material Reclaimed from waste (e.g. making fence, and chairs  from wooden pallets etc)</t>
  </si>
  <si>
    <t>Reduction in Shrink Wrap roll width</t>
  </si>
  <si>
    <t>Recover and reused of chemical compound during barrel washing</t>
  </si>
  <si>
    <t>Polybags reused</t>
  </si>
  <si>
    <t>GAS</t>
  </si>
  <si>
    <t xml:space="preserve">DMF Modulating Burner </t>
  </si>
  <si>
    <t xml:space="preserve">Direct fired burner </t>
  </si>
  <si>
    <t>Saving from Gas Flow meter)</t>
  </si>
  <si>
    <t>Reduce micron level of poly bags</t>
  </si>
  <si>
    <t>Reduction in header and paper card GSM</t>
  </si>
  <si>
    <t>Reuse of Plastic Pallets [PKR]</t>
  </si>
  <si>
    <t>Product (Kg)</t>
  </si>
  <si>
    <t>Nunmber of Sustainable Products Launched</t>
  </si>
  <si>
    <t>Others (Please specify)</t>
  </si>
  <si>
    <t>Others Activities*</t>
  </si>
  <si>
    <r>
      <t xml:space="preserve">Recycled Claim Standard (RCS) Certification Audit- </t>
    </r>
    <r>
      <rPr>
        <b/>
        <sz val="12"/>
        <color theme="1"/>
        <rFont val="Trebuchet MS"/>
        <family val="2"/>
      </rPr>
      <t>Certified</t>
    </r>
  </si>
  <si>
    <t>QMS Audit by Kimberly-Clark</t>
  </si>
  <si>
    <t>SMETA (SEDEX) Audit</t>
  </si>
  <si>
    <t>Module D Audit</t>
  </si>
  <si>
    <t>ISO 9001:2015</t>
  </si>
  <si>
    <t>QMS Audit &amp; Social by Bunzl Audit</t>
  </si>
  <si>
    <t>Bunzl IRAM Audit</t>
  </si>
  <si>
    <t xml:space="preserve">Social Complaince by ES </t>
  </si>
  <si>
    <t>Audit</t>
  </si>
  <si>
    <t>QMS Audit by Adolf Würth GmbH</t>
  </si>
  <si>
    <t>EMS 40001</t>
  </si>
  <si>
    <t>ISO 45001:2018</t>
  </si>
  <si>
    <t>Other Activities *</t>
  </si>
  <si>
    <t>1. Trainaing delivered</t>
  </si>
  <si>
    <t>2. Events Organised</t>
  </si>
  <si>
    <t>3. Audits conducted</t>
  </si>
  <si>
    <t>4. Certifications achieved</t>
  </si>
  <si>
    <t>Data Entry only in the Blue Writing Cell</t>
  </si>
  <si>
    <t>Gas Consumption</t>
  </si>
  <si>
    <t>Amount CBM</t>
  </si>
  <si>
    <t>EF for NG</t>
  </si>
  <si>
    <t>Total kgCO2e</t>
  </si>
  <si>
    <t>Total TonCO2e</t>
  </si>
  <si>
    <t>Emission factor taken from "UK Government GHG Conversion Factors for Company Reporting" 2023</t>
  </si>
  <si>
    <t>Linked with Gas Consumption File</t>
  </si>
  <si>
    <t>Refrigerant - 1 (R22) ton</t>
  </si>
  <si>
    <t>EF 1 for tonCO2e</t>
  </si>
  <si>
    <t>Refrigerant - 2 (R410A) ton</t>
  </si>
  <si>
    <t>EF 2 for tonCO2e</t>
  </si>
  <si>
    <t>Refrigerant - 3 (134A) ton</t>
  </si>
  <si>
    <t>EF 3 for tonCO2e</t>
  </si>
  <si>
    <t>Total tonCO2e</t>
  </si>
  <si>
    <t>Emission from Company owned vehicle (Micro)</t>
  </si>
  <si>
    <t xml:space="preserve">Monthly fuel provided </t>
  </si>
  <si>
    <t>No. of Toyota Microbus</t>
  </si>
  <si>
    <t>EF for LPG</t>
  </si>
  <si>
    <t>NCV of LPG</t>
  </si>
  <si>
    <t>Total KgCO2e</t>
  </si>
  <si>
    <t>Company owned vehicle (Micro)</t>
  </si>
  <si>
    <t>Linked with Fuel for Shuttle Micro</t>
  </si>
  <si>
    <t>Emission from Company owned vehicle (Coverd Van)</t>
  </si>
  <si>
    <t xml:space="preserve">Monthly Diesel provided </t>
  </si>
  <si>
    <t>No. of  Covered Van</t>
  </si>
  <si>
    <t>EF for Diesel -average biofuel blend</t>
  </si>
  <si>
    <t>Linked with Diesel Usage Sheet</t>
  </si>
  <si>
    <t>30 litre used by MTC- Confirmed by Fahmid, 10 litre used by U-2 Stitching</t>
  </si>
  <si>
    <t>30 litre used by MTC- Confirmed by Fahmid, 5.50  litre used by U-2 Stitching</t>
  </si>
  <si>
    <t>Category-1 KGCO2e</t>
  </si>
  <si>
    <t>Category-1 TonCO2e</t>
  </si>
  <si>
    <t>Emission from purchased Electricity</t>
  </si>
  <si>
    <t>Amount in Unit - 1 (kWh)</t>
  </si>
  <si>
    <t>Amount in Unit - 2 (kWh)</t>
  </si>
  <si>
    <t>Amount in Unit - 3 (kWh)</t>
  </si>
  <si>
    <t>Total Amount (kWh)</t>
  </si>
  <si>
    <t>Total Amount (MWh)</t>
  </si>
  <si>
    <t>GEF of BD (ton CO2e/MWh)</t>
  </si>
  <si>
    <t>Total Emission of ton CO2e/MWh</t>
  </si>
  <si>
    <t>Total Emission of KG CO2e/MWh</t>
  </si>
  <si>
    <t>purchased Electricity</t>
  </si>
  <si>
    <t>Linked with Electicity File</t>
  </si>
  <si>
    <t>Emission from Employee Commuting- Micro</t>
  </si>
  <si>
    <t>Av. Distance (km) covered by Microbus (one way)</t>
  </si>
  <si>
    <t>No. of trips per day
(No. of trips per month from July)</t>
  </si>
  <si>
    <t>Total working day in a month</t>
  </si>
  <si>
    <t>No. of Microbus</t>
  </si>
  <si>
    <t>EF for Large car of LPG</t>
  </si>
  <si>
    <t>Emission kgCO2e per month</t>
  </si>
  <si>
    <t>Emission TonCO2e per month</t>
  </si>
  <si>
    <t>Micro</t>
  </si>
  <si>
    <t>Km (one way)</t>
  </si>
  <si>
    <t>Employee Commuting- Micro</t>
  </si>
  <si>
    <t>Bahaddarhat</t>
  </si>
  <si>
    <t>Md. Parvez Alam</t>
  </si>
  <si>
    <t>Colonelhat</t>
  </si>
  <si>
    <t>Muradpur</t>
  </si>
  <si>
    <t>Kotoali</t>
  </si>
  <si>
    <t>Foys Lake</t>
  </si>
  <si>
    <t>Khatghar</t>
  </si>
  <si>
    <t>Emission from Employee Commuting- Extra Micro</t>
  </si>
  <si>
    <t>Micro Total</t>
  </si>
  <si>
    <t>(No. of trips per month from July)</t>
  </si>
  <si>
    <t>Employee Commuting- Extra Micro</t>
  </si>
  <si>
    <t>Chawakbazar</t>
  </si>
  <si>
    <t>Chowmoni</t>
  </si>
  <si>
    <t>Emission from Employee Commuting- Bus</t>
  </si>
  <si>
    <t>Distance covered by Bus (KM)</t>
  </si>
  <si>
    <t>No. of trips (Monthly)</t>
  </si>
  <si>
    <t>No. of bus</t>
  </si>
  <si>
    <t>Indian EF for Bus (kgCO2e/pax-km)</t>
  </si>
  <si>
    <t xml:space="preserve"> Emission kgCO2e</t>
  </si>
  <si>
    <t>Bus</t>
  </si>
  <si>
    <t>Employee Commuting- Bus</t>
  </si>
  <si>
    <t>Emission from Business Air Travel</t>
  </si>
  <si>
    <t>International Air Travel Distance Covered - 1 (KM)</t>
  </si>
  <si>
    <t>International Air Travel Distance Covered - 2 (KM)</t>
  </si>
  <si>
    <t>International Air Travel Distance Covered - 3 (KM)</t>
  </si>
  <si>
    <t>International Air Travel Distance Covered - 4 (KM)</t>
  </si>
  <si>
    <t>Total International Air Travel Distance Covered (KM)</t>
  </si>
  <si>
    <t>EF for Long Haul</t>
  </si>
  <si>
    <t>Domestic Air Travel Distance Covered - 1 (KM)</t>
  </si>
  <si>
    <t>Domestic Air Travel Distance Covered - 2 (KM)</t>
  </si>
  <si>
    <t>Domestic Air Travel Distance Covered - 3 (KM)</t>
  </si>
  <si>
    <t>Domestic Air Travel Distance Covered - 4 (KM)</t>
  </si>
  <si>
    <t>Total Domestic Air Travel Distance Covered (KM)</t>
  </si>
  <si>
    <t>EF for Short Haul</t>
  </si>
  <si>
    <t>Total Emission kgCO2e</t>
  </si>
  <si>
    <t>Total Emission ton CO2e</t>
  </si>
  <si>
    <t>Business Air Travel</t>
  </si>
  <si>
    <t>Emission from Import - FOB</t>
  </si>
  <si>
    <t>Emission from Import- CIF/CFR</t>
  </si>
  <si>
    <t>Quantity (tonnes)</t>
  </si>
  <si>
    <t>Road Mileage (km)</t>
  </si>
  <si>
    <t>Emission Factor for Van (Average ; Up to 3.5 tonnes) in kgCO2e</t>
  </si>
  <si>
    <t>Sea Mileage (Nautical Miles)</t>
  </si>
  <si>
    <t>Sea Mileage 
(km)</t>
  </si>
  <si>
    <t>Emission Factor for Cargo Ship  (General Cargo ; average) in kgCO2e</t>
  </si>
  <si>
    <t>Total Emission kg CO2e / tonne-km</t>
  </si>
  <si>
    <t>Total Emission tonnes CO2e / tonne-km</t>
  </si>
  <si>
    <t>Emission Factor 
for Van (Average ; Up to 3.5 tonnes) in kgCO2e</t>
  </si>
  <si>
    <t>TOTAL Ton CO2e</t>
  </si>
  <si>
    <t>Total KG CO2e</t>
  </si>
  <si>
    <t>Emission from Import</t>
  </si>
  <si>
    <t>Linked with Import Data</t>
  </si>
  <si>
    <t>Emission from Export - CIF/CFR</t>
  </si>
  <si>
    <t>Emission from Export - FOB</t>
  </si>
  <si>
    <t>Emission Factor 
for Van (Average ; Up to 3.5 tonnes)</t>
  </si>
  <si>
    <t>Emission Factor 
for Cargo Ship  (General Cargo ; average)</t>
  </si>
  <si>
    <t>TOTAL KG CO2e</t>
  </si>
  <si>
    <t>Emission from Export</t>
  </si>
  <si>
    <t>Linked with Export Data</t>
  </si>
  <si>
    <t>TOTAL TON CO2e FOR CATEGORY 3</t>
  </si>
  <si>
    <t>Category-3 KGCO2e</t>
  </si>
  <si>
    <t>Category-3 TonCO2e</t>
  </si>
  <si>
    <t>(No. of trips per month)</t>
  </si>
  <si>
    <t>Emission from Electricity Transmission &amp; Distribution Loss</t>
  </si>
  <si>
    <t>Purchased Electricity Amount (kWh)</t>
  </si>
  <si>
    <t>Purchased Electricity Amount (MWh)</t>
  </si>
  <si>
    <t>10.41% Loss</t>
  </si>
  <si>
    <t>Loss from Purchased Electricity</t>
  </si>
  <si>
    <t>Total Emission of kg CO2e/MWh</t>
  </si>
  <si>
    <t>Ton CO2e/MWh</t>
  </si>
  <si>
    <t xml:space="preserve"> Electricity T&amp;D Loss</t>
  </si>
  <si>
    <t>Linked with CAT2</t>
  </si>
  <si>
    <t>Waste Data-2023 (in KGs)  (Emission factor taken from "UK Government GHG Conversion Factors for Company Reporting" 2022)</t>
  </si>
  <si>
    <t>Paper (KG)</t>
  </si>
  <si>
    <t>EF</t>
  </si>
  <si>
    <t>KGCO2e for paper</t>
  </si>
  <si>
    <t>Plastic (KG)</t>
  </si>
  <si>
    <t>KGCO2e for plastic</t>
  </si>
  <si>
    <t>Metal (KG)</t>
  </si>
  <si>
    <t>KGCO2e for metal</t>
  </si>
  <si>
    <t>Textile (KG)</t>
  </si>
  <si>
    <t>KGCO2e for textile</t>
  </si>
  <si>
    <t>Wood (KG)</t>
  </si>
  <si>
    <t>KGCO2e for wood</t>
  </si>
  <si>
    <t>Other (KG)</t>
  </si>
  <si>
    <t>KGCO2e for other</t>
  </si>
  <si>
    <t>Food (KG)</t>
  </si>
  <si>
    <t>KGCO2e for food</t>
  </si>
  <si>
    <t>TOTAL KGCO2e</t>
  </si>
  <si>
    <t>TOTAL TONCO2e</t>
  </si>
  <si>
    <t xml:space="preserve">Linked with Segregated </t>
  </si>
  <si>
    <t>Category-4 KGCO2e</t>
  </si>
  <si>
    <t>Category-4 TonCO2e</t>
  </si>
  <si>
    <t>Category 3+4 (KGCO2e)</t>
  </si>
  <si>
    <t>Category 3+4 (TonCO2e)</t>
  </si>
  <si>
    <t>TOTAL</t>
  </si>
  <si>
    <t>Waste Data-2024 (in KGs)  (Emission factor taken from "UK Government GHG Conversion Factors for Company Reporting" 2022)</t>
  </si>
  <si>
    <t>In 2023</t>
  </si>
  <si>
    <t>Category No</t>
  </si>
  <si>
    <t>Ton CO2e</t>
  </si>
  <si>
    <t>Total CO2e</t>
  </si>
  <si>
    <t>CO2e/DP</t>
  </si>
  <si>
    <t>Linked with Cat1, Cat2, Cat3 &amp; Cat4</t>
  </si>
  <si>
    <t xml:space="preserve">Category - 1 </t>
  </si>
  <si>
    <t>Linked with production data sheet</t>
  </si>
  <si>
    <t>Category - 2</t>
  </si>
  <si>
    <t>Category - 3</t>
  </si>
  <si>
    <t>Category - 4</t>
  </si>
  <si>
    <r>
      <t xml:space="preserve">Total </t>
    </r>
    <r>
      <rPr>
        <b/>
        <sz val="11"/>
        <color rgb="FFFF0000"/>
        <rFont val="Calibri"/>
        <family val="2"/>
        <scheme val="minor"/>
      </rPr>
      <t>Ton</t>
    </r>
    <r>
      <rPr>
        <b/>
        <sz val="11"/>
        <color theme="1"/>
        <rFont val="Calibri"/>
        <family val="2"/>
        <scheme val="minor"/>
      </rPr>
      <t xml:space="preserve"> CO2e</t>
    </r>
  </si>
  <si>
    <t>TonCo2e/DP</t>
  </si>
  <si>
    <r>
      <t xml:space="preserve">Total </t>
    </r>
    <r>
      <rPr>
        <b/>
        <sz val="11"/>
        <color rgb="FFFF0000"/>
        <rFont val="Calibri"/>
        <family val="2"/>
        <scheme val="minor"/>
      </rPr>
      <t>KG</t>
    </r>
    <r>
      <rPr>
        <b/>
        <sz val="11"/>
        <color theme="1"/>
        <rFont val="Calibri"/>
        <family val="2"/>
        <scheme val="minor"/>
      </rPr>
      <t xml:space="preserve"> CO2e</t>
    </r>
  </si>
  <si>
    <t>KGCO2e/DP</t>
  </si>
  <si>
    <t>Fuel-LPG (Unit)</t>
  </si>
  <si>
    <t>Fuel-LPG (Cost)</t>
  </si>
  <si>
    <t>Signature</t>
  </si>
  <si>
    <t>Total Cost (BDT)</t>
  </si>
  <si>
    <t>Unit Price (BDT)</t>
  </si>
  <si>
    <t xml:space="preserve">Total Unit </t>
  </si>
  <si>
    <t xml:space="preserve">Diesel Handover by Admin (littre) </t>
  </si>
  <si>
    <t>Receive number</t>
  </si>
  <si>
    <t>Company owned vehicle ((Coverd Van)</t>
  </si>
  <si>
    <t>6540, 3270</t>
  </si>
  <si>
    <t>MTC Used</t>
  </si>
  <si>
    <t>Covered Van Used</t>
  </si>
  <si>
    <t>Summary of Electricity Bills</t>
  </si>
  <si>
    <t>UNIT-1</t>
  </si>
  <si>
    <t>UNIT-2</t>
  </si>
  <si>
    <t>UNIT-3</t>
  </si>
  <si>
    <t>YTD IHPL</t>
  </si>
  <si>
    <t>Unit (KWH)</t>
  </si>
  <si>
    <t>Productivity</t>
  </si>
  <si>
    <t>Value ($)</t>
  </si>
  <si>
    <t>Cost/DP</t>
  </si>
  <si>
    <t>Total KWH</t>
  </si>
  <si>
    <t>Total DP</t>
  </si>
  <si>
    <t>Production (DP)</t>
  </si>
  <si>
    <t>Jan''18</t>
  </si>
  <si>
    <t>Feb''18</t>
  </si>
  <si>
    <t>Mar''18</t>
  </si>
  <si>
    <t>Apr''18</t>
  </si>
  <si>
    <t>May''18</t>
  </si>
  <si>
    <t>Jun''18</t>
  </si>
  <si>
    <t>Jul''18</t>
  </si>
  <si>
    <t>Aug''18</t>
  </si>
  <si>
    <t>Sep''18</t>
  </si>
  <si>
    <t>Oct''18</t>
  </si>
  <si>
    <t>Nov''18</t>
  </si>
  <si>
    <t>Dec''18</t>
  </si>
  <si>
    <t>Jan"19</t>
  </si>
  <si>
    <t>Feb"19</t>
  </si>
  <si>
    <t>Mar"19</t>
  </si>
  <si>
    <t>Apr"19</t>
  </si>
  <si>
    <t>May"19</t>
  </si>
  <si>
    <t>June"19</t>
  </si>
  <si>
    <t>July"19</t>
  </si>
  <si>
    <t>Aug"19</t>
  </si>
  <si>
    <t>Sep"19</t>
  </si>
  <si>
    <t>Oct"19</t>
  </si>
  <si>
    <t>Nov"19</t>
  </si>
  <si>
    <t>Dec"19</t>
  </si>
  <si>
    <t>Jan"20</t>
  </si>
  <si>
    <t>Feb'20</t>
  </si>
  <si>
    <t>Mar'20</t>
  </si>
  <si>
    <t>Apr'20</t>
  </si>
  <si>
    <t>May'20</t>
  </si>
  <si>
    <t>Jun'20</t>
  </si>
  <si>
    <t>Jul'20</t>
  </si>
  <si>
    <t>Aug'20</t>
  </si>
  <si>
    <t>Sep'20</t>
  </si>
  <si>
    <t>Oct'20</t>
  </si>
  <si>
    <t>Nov'20</t>
  </si>
  <si>
    <t>Dec'20</t>
  </si>
  <si>
    <t>Jan'21</t>
  </si>
  <si>
    <t>Feb'21</t>
  </si>
  <si>
    <t>Mar'21</t>
  </si>
  <si>
    <t>Apr'21</t>
  </si>
  <si>
    <t>May'21</t>
  </si>
  <si>
    <t>June'21</t>
  </si>
  <si>
    <t>July'21</t>
  </si>
  <si>
    <t>Aug'21</t>
  </si>
  <si>
    <t>Sep'21</t>
  </si>
  <si>
    <t>Oct'21</t>
  </si>
  <si>
    <t>Nov'21</t>
  </si>
  <si>
    <t>Dec'21</t>
  </si>
  <si>
    <t>Jan'22</t>
  </si>
  <si>
    <t>Feb'22</t>
  </si>
  <si>
    <t>Mar'22</t>
  </si>
  <si>
    <t>Apr'22</t>
  </si>
  <si>
    <t>May'22</t>
  </si>
  <si>
    <t>June'22</t>
  </si>
  <si>
    <t>July'22</t>
  </si>
  <si>
    <t>Aug'22</t>
  </si>
  <si>
    <t>Sep'22</t>
  </si>
  <si>
    <t>Oct'22</t>
  </si>
  <si>
    <t>Nov'22</t>
  </si>
  <si>
    <t>Dec'22</t>
  </si>
  <si>
    <t>Electricity Consumption</t>
  </si>
  <si>
    <t>Jan'23</t>
  </si>
  <si>
    <t>Feb'23</t>
  </si>
  <si>
    <t>Mar'23</t>
  </si>
  <si>
    <t>Apr'23</t>
  </si>
  <si>
    <t>May'23</t>
  </si>
  <si>
    <t>June'23</t>
  </si>
  <si>
    <t>July'23</t>
  </si>
  <si>
    <t>Aug'23</t>
  </si>
  <si>
    <t>Sept'23</t>
  </si>
  <si>
    <t>Oct'23</t>
  </si>
  <si>
    <t>Nov'23</t>
  </si>
  <si>
    <t>Dec'23</t>
  </si>
  <si>
    <t>Jan'24</t>
  </si>
  <si>
    <t>Mar'24</t>
  </si>
  <si>
    <t>Apr'24</t>
  </si>
  <si>
    <t>July'24</t>
  </si>
  <si>
    <t>Aug'24</t>
  </si>
  <si>
    <t>Sept'24</t>
  </si>
  <si>
    <t>Oct'24</t>
  </si>
  <si>
    <t>Nov'24</t>
  </si>
  <si>
    <t>Dec'24</t>
  </si>
  <si>
    <t>Summary of Gas Bills</t>
  </si>
  <si>
    <t>Unit CBM</t>
  </si>
  <si>
    <t>CBM/DP</t>
  </si>
  <si>
    <t>Total CBM</t>
  </si>
  <si>
    <t>Total MMBTU</t>
  </si>
  <si>
    <t>Jan-18</t>
  </si>
  <si>
    <t>Feb-18</t>
  </si>
  <si>
    <t>Must have to update 2 month data as</t>
  </si>
  <si>
    <t>Mar-18</t>
  </si>
  <si>
    <t>we get the gas bill after one month</t>
  </si>
  <si>
    <t>Apr-18</t>
  </si>
  <si>
    <t>May-18</t>
  </si>
  <si>
    <t>Jun-18</t>
  </si>
  <si>
    <t>Jul-18</t>
  </si>
  <si>
    <t>Aug-18</t>
  </si>
  <si>
    <t>Sep-18</t>
  </si>
  <si>
    <t>Oct-18</t>
  </si>
  <si>
    <t>Nov-18</t>
  </si>
  <si>
    <t>Dec"18</t>
  </si>
  <si>
    <t>Jan'20</t>
  </si>
  <si>
    <t>Jun'21</t>
  </si>
  <si>
    <t>Jul'21</t>
  </si>
  <si>
    <t>Aug"21</t>
  </si>
  <si>
    <t>Sep"21</t>
  </si>
  <si>
    <t>Oct"21</t>
  </si>
  <si>
    <t>Nov"21</t>
  </si>
  <si>
    <t>Dec"21</t>
  </si>
  <si>
    <t>Jan"22</t>
  </si>
  <si>
    <t>Feb"22</t>
  </si>
  <si>
    <t>Mar"22</t>
  </si>
  <si>
    <t>Apr"22</t>
  </si>
  <si>
    <t>May"22</t>
  </si>
  <si>
    <t>June"22</t>
  </si>
  <si>
    <t>July"22</t>
  </si>
  <si>
    <t>Aug"22</t>
  </si>
  <si>
    <t>Sep"22</t>
  </si>
  <si>
    <t>Oct"22</t>
  </si>
  <si>
    <t>Nov"22</t>
  </si>
  <si>
    <t>Dec"22</t>
  </si>
  <si>
    <t>Jan"23</t>
  </si>
  <si>
    <t>Feb"23</t>
  </si>
  <si>
    <t>Mar"23</t>
  </si>
  <si>
    <t>Apr"23</t>
  </si>
  <si>
    <t>May"23</t>
  </si>
  <si>
    <t>June"23</t>
  </si>
  <si>
    <t>July"23</t>
  </si>
  <si>
    <t>Aug"23</t>
  </si>
  <si>
    <t>Sept"23</t>
  </si>
  <si>
    <t>Sep"23</t>
  </si>
  <si>
    <t>Oct"23</t>
  </si>
  <si>
    <t>Nov"23</t>
  </si>
  <si>
    <t>Dec"23</t>
  </si>
  <si>
    <t>Jan"24</t>
  </si>
  <si>
    <t>Feb"24</t>
  </si>
  <si>
    <t>Mar"24</t>
  </si>
  <si>
    <t>Apr"24</t>
  </si>
  <si>
    <t>May"24</t>
  </si>
  <si>
    <t>June"24</t>
  </si>
  <si>
    <t>July"24</t>
  </si>
  <si>
    <t>Aug"24</t>
  </si>
  <si>
    <t>Sept"24</t>
  </si>
  <si>
    <t>Sep"24</t>
  </si>
  <si>
    <t>Oct"24</t>
  </si>
  <si>
    <t>Nov"24</t>
  </si>
  <si>
    <t>Dec"24</t>
  </si>
  <si>
    <t>Summary of Water Bills</t>
  </si>
  <si>
    <t>Unit (CBM)</t>
  </si>
  <si>
    <t>Total Litres</t>
  </si>
  <si>
    <t xml:space="preserve">Production </t>
  </si>
  <si>
    <t>Wind Generation</t>
  </si>
  <si>
    <t>Take help from Sayeed</t>
  </si>
  <si>
    <t>05</t>
  </si>
  <si>
    <t>Travel Info for CFP Calculations</t>
  </si>
  <si>
    <t>Name</t>
  </si>
  <si>
    <t>Departing Country/City</t>
  </si>
  <si>
    <t>Destination Country/City</t>
  </si>
  <si>
    <t>Distance (KM)</t>
  </si>
  <si>
    <t>MR GOLAM RAHMAN RONBI</t>
  </si>
  <si>
    <t>Chattogram</t>
  </si>
  <si>
    <t>Dhaka</t>
  </si>
  <si>
    <t>Chattogram to Dhaka</t>
  </si>
  <si>
    <t>MR MOHAMMAD JAHANGIR ALAM</t>
  </si>
  <si>
    <t>Chattogram to DUBAI</t>
  </si>
  <si>
    <t>Chattogram to Kolkata</t>
  </si>
  <si>
    <t>Mr SHRIRAM KANNAN</t>
  </si>
  <si>
    <t>Kolkata</t>
  </si>
  <si>
    <t>Chattogram to Sharjah</t>
  </si>
  <si>
    <t>Chennai</t>
  </si>
  <si>
    <t>Chennai to Dhaka</t>
  </si>
  <si>
    <t>MR MUHAMMAD MONIR AHMAD</t>
  </si>
  <si>
    <t>Sharjah</t>
  </si>
  <si>
    <t>Dhaka to Chattogram</t>
  </si>
  <si>
    <t>Karachi</t>
  </si>
  <si>
    <t>Dhaka to Chennai</t>
  </si>
  <si>
    <t>MR ABBAS MUSTAFA KASSAM</t>
  </si>
  <si>
    <t>DUBAI</t>
  </si>
  <si>
    <t>Karachi to Sharjah</t>
  </si>
  <si>
    <t>Kolkata to Chennai</t>
  </si>
  <si>
    <t>Sharjah to Chattogram</t>
  </si>
  <si>
    <t>Sharjah to Karachi</t>
  </si>
  <si>
    <t>MR Arjuna Jayasinghe</t>
  </si>
  <si>
    <t>Updated as per the Guidline</t>
  </si>
  <si>
    <t>https://www.airportdistancecalculator.com/</t>
  </si>
  <si>
    <t>MR ABDULLAH AL NOMAN</t>
  </si>
  <si>
    <t>MR Abbas Kassam</t>
  </si>
  <si>
    <t>Dhaka to Duesseldorf</t>
  </si>
  <si>
    <t>Mashi Ud Duza</t>
  </si>
  <si>
    <t>Ashikur Rahman</t>
  </si>
  <si>
    <t>Raja Rizwan Ahmed</t>
  </si>
  <si>
    <t>Duesseldorf</t>
  </si>
  <si>
    <t xml:space="preserve">Md. Mustafidul Islam Fahmid </t>
  </si>
  <si>
    <t xml:space="preserve">Mahmudur Rahman </t>
  </si>
  <si>
    <t xml:space="preserve">CHittagong </t>
  </si>
  <si>
    <t xml:space="preserve">Dhaka </t>
  </si>
  <si>
    <t>Import Data - 2023</t>
  </si>
  <si>
    <t>FOB</t>
  </si>
  <si>
    <t>CIF/CFR</t>
  </si>
  <si>
    <t>Qty in Tonnes</t>
  </si>
  <si>
    <t>Sea Mileage (NM)</t>
  </si>
  <si>
    <t>Road Mileage (KM)</t>
  </si>
  <si>
    <t>Order incraesed due to name change</t>
  </si>
  <si>
    <t>Import Data - 2024</t>
  </si>
  <si>
    <t>Qty in DP:</t>
  </si>
  <si>
    <t>Sum of Delivered Quantity (PGI)</t>
  </si>
  <si>
    <t>Incoterm</t>
  </si>
  <si>
    <t>Grand Total</t>
  </si>
  <si>
    <t>Sept</t>
  </si>
  <si>
    <t xml:space="preserve">Mohammad Anisur Rahman </t>
  </si>
  <si>
    <t>Carriage paid to</t>
  </si>
  <si>
    <t>Costs and freight</t>
  </si>
  <si>
    <t>Costs, insurance &amp; freight</t>
  </si>
  <si>
    <t>Ex Works</t>
  </si>
  <si>
    <t>Free on board</t>
  </si>
  <si>
    <t>Weight in Kg:</t>
  </si>
  <si>
    <t>Sum of Total Weight</t>
  </si>
  <si>
    <t>Data Entry only in the Blue Color Cell</t>
  </si>
  <si>
    <t>Wastage-2023</t>
  </si>
  <si>
    <t>Category</t>
  </si>
  <si>
    <t>Particular</t>
  </si>
  <si>
    <t>Working</t>
  </si>
  <si>
    <t>Wastage Carton</t>
  </si>
  <si>
    <t>Per Kg</t>
  </si>
  <si>
    <t>Wastage Cone/Roll</t>
  </si>
  <si>
    <t>Wastage Paper</t>
  </si>
  <si>
    <t>Wastage Poly Bag 1no/A Grade</t>
  </si>
  <si>
    <t>Per kg</t>
  </si>
  <si>
    <t>Wastage Poly Bag 2no/B Grade</t>
  </si>
  <si>
    <t>Empty Plastic Thread Cone 1 no</t>
  </si>
  <si>
    <t>Plastic barrel ( 250 kg) - empty barrel weight 10 kg</t>
  </si>
  <si>
    <t>Empty Plastic Thread Cone 2 no (Black)</t>
  </si>
  <si>
    <t>plastic barrel ( 25 kg) - empty barrel weight 1 kg</t>
  </si>
  <si>
    <t>Gunny Bags</t>
  </si>
  <si>
    <t>White frame Plastic Drum IBC tank- 65kg</t>
  </si>
  <si>
    <t>Wastage P P belt</t>
  </si>
  <si>
    <t>Empty Plastic Drum (90-150) Liter</t>
  </si>
  <si>
    <t>Per pc</t>
  </si>
  <si>
    <t>Empty Plastic Drum (160-190) Liter</t>
  </si>
  <si>
    <t>Empty Plastic Drum (25-50) Liter</t>
  </si>
  <si>
    <t>Empty Plastic Drum (25-30) Liter</t>
  </si>
  <si>
    <t>All Shorts of Plastic Item</t>
  </si>
  <si>
    <t>White Frame Plastic Drum IBC Tank</t>
  </si>
  <si>
    <t>Plastic Drum IBC Tank Upper Leaf</t>
  </si>
  <si>
    <t>PC</t>
  </si>
  <si>
    <t>Various Iron Scrap</t>
  </si>
  <si>
    <t>Steel Bucket/Tin (15-22) Liter</t>
  </si>
  <si>
    <t>Metal barrel ( 165 kg) - 16 kg ( empty barrel weight )</t>
  </si>
  <si>
    <t>Empty Steel Drum 200 liter Grade A</t>
  </si>
  <si>
    <t>Metal barrel ( 25 kg ) - 2 kg ( ( empty barrel weight )</t>
  </si>
  <si>
    <t>Empty Steel Drum 200 liter Grade B</t>
  </si>
  <si>
    <t>Aluminium</t>
  </si>
  <si>
    <t>Cropper</t>
  </si>
  <si>
    <t>Sewing Cuts/Cotton Clips</t>
  </si>
  <si>
    <t>Shredded MK</t>
  </si>
  <si>
    <t>Shredded PVC/Dotted/Nitrile</t>
  </si>
  <si>
    <t>Fire Wood/Broken Wooden Plate</t>
  </si>
  <si>
    <t>Food</t>
  </si>
  <si>
    <t>Other's</t>
  </si>
  <si>
    <t>Dust/Garbage</t>
  </si>
  <si>
    <t>Per truck (3000 kg)</t>
  </si>
  <si>
    <t>Truck</t>
  </si>
  <si>
    <t>N/A</t>
  </si>
  <si>
    <t>Kitchen Food</t>
  </si>
  <si>
    <t>Wastage-2024</t>
  </si>
  <si>
    <t>plastic barrel ( 25 kg) - empty barrel weight 2 kg</t>
  </si>
  <si>
    <t>plastic barrel ( 120 kg) - empty barrel weight 6 kg</t>
  </si>
  <si>
    <t>plastic barrel ( 200 kg) - empty barrel weight 10 kg</t>
  </si>
  <si>
    <t xml:space="preserve">Per truck </t>
  </si>
  <si>
    <t>Waste Data-2023 (in KGs)</t>
  </si>
  <si>
    <t>Non-Hazardous</t>
  </si>
  <si>
    <t>All Waste (KG)</t>
  </si>
  <si>
    <t>Food waste (KG)</t>
  </si>
  <si>
    <t>Other*</t>
  </si>
  <si>
    <t>Total Recycled Waste</t>
  </si>
  <si>
    <t>Total Non-Recycled Waste</t>
  </si>
  <si>
    <t>Recycled %</t>
  </si>
  <si>
    <t>Non-Recycled %</t>
  </si>
  <si>
    <t>Production DP</t>
  </si>
  <si>
    <t>G/Dp</t>
  </si>
  <si>
    <t>No. of emp</t>
  </si>
  <si>
    <t>G/Person</t>
  </si>
  <si>
    <t>Linked with Wastage Raw Data</t>
  </si>
  <si>
    <t>Production Data is linked with Production file</t>
  </si>
  <si>
    <t>Food waste is linked with Food waste data</t>
  </si>
  <si>
    <t>Number of employees linked with the People data sheet</t>
  </si>
  <si>
    <t>Waste Data-2024 (in KGs)</t>
  </si>
  <si>
    <t>Vermicomposting production data-23</t>
  </si>
  <si>
    <t>Food Waste'2023</t>
  </si>
  <si>
    <t>Waste utilized in composting  (KG)</t>
  </si>
  <si>
    <t>Compost produced (KG)</t>
  </si>
  <si>
    <t>U1 &amp; 3</t>
  </si>
  <si>
    <t>U2</t>
  </si>
  <si>
    <t xml:space="preserve">January </t>
  </si>
  <si>
    <t xml:space="preserve">February </t>
  </si>
  <si>
    <t>Total produced compost</t>
  </si>
  <si>
    <t>Vermicomposting production data-24</t>
  </si>
  <si>
    <t>Food Waste'2024</t>
  </si>
  <si>
    <t>Rain water harvesting</t>
  </si>
  <si>
    <t xml:space="preserve">Unit-1&amp; 3 </t>
  </si>
  <si>
    <t>Unit-2</t>
  </si>
  <si>
    <t>Water Recycle</t>
  </si>
  <si>
    <t>Sub total</t>
  </si>
  <si>
    <t>RO</t>
  </si>
  <si>
    <t>Water reuse- ORRA</t>
  </si>
  <si>
    <t>Total Recycle</t>
  </si>
  <si>
    <t>Shahjahan Hossain</t>
  </si>
  <si>
    <t>GRADE - A</t>
  </si>
  <si>
    <t>GRADE - B</t>
  </si>
  <si>
    <t>GRADE - C</t>
  </si>
  <si>
    <t>Grade-A (DP)</t>
  </si>
  <si>
    <t>Grade-A (PAA)</t>
  </si>
  <si>
    <t>Grade-A (PAA-DP)</t>
  </si>
  <si>
    <t>Grade-A (EA)</t>
  </si>
  <si>
    <t>Grade-A (EA-DP)</t>
  </si>
  <si>
    <t>Grade-B (DP)</t>
  </si>
  <si>
    <t>Grade-B (PAA)</t>
  </si>
  <si>
    <t>Grade-B (PAA-DP)</t>
  </si>
  <si>
    <t>Grade-B (EA)</t>
  </si>
  <si>
    <t>Grade-B (EA-DP)</t>
  </si>
  <si>
    <t>Grade-C (DP)</t>
  </si>
  <si>
    <t>Grade-C (PAA)</t>
  </si>
  <si>
    <t>Grade-C (PAA-DP)</t>
  </si>
  <si>
    <t>Grade-C (EA)</t>
  </si>
  <si>
    <t>Grade-C (EA-DP)</t>
  </si>
  <si>
    <t>Total Production inDP</t>
  </si>
  <si>
    <t>Weight</t>
  </si>
  <si>
    <t>Total Production in KG</t>
  </si>
  <si>
    <t>Av.</t>
  </si>
  <si>
    <t>Plastic Consumption (KG)</t>
  </si>
  <si>
    <t>Hanger</t>
  </si>
  <si>
    <t>Poly</t>
  </si>
  <si>
    <t>Total Plastic Consumption Weight</t>
  </si>
  <si>
    <t>Hanger(pcs)</t>
  </si>
  <si>
    <t>Weight (Gm)</t>
  </si>
  <si>
    <t>Hanger KG</t>
  </si>
  <si>
    <t>Tag pin (pcs)</t>
  </si>
  <si>
    <t>Tag Pin KG</t>
  </si>
  <si>
    <t>Hanger+Tagpin weight (kg)</t>
  </si>
  <si>
    <t>Poly (KG)</t>
  </si>
  <si>
    <t>Poly (Pieces) Local</t>
  </si>
  <si>
    <t>Poly (Piece) in KG</t>
  </si>
  <si>
    <t>Poly (Pieces) Import</t>
  </si>
  <si>
    <t>Roll</t>
  </si>
  <si>
    <t>Roll In KG</t>
  </si>
  <si>
    <t>Total PM Poly Weight (KG)</t>
  </si>
  <si>
    <t>WH poly wrap (KG)</t>
  </si>
  <si>
    <t>Total poly weight (KG)</t>
  </si>
  <si>
    <t>Plastic weight (KG)</t>
  </si>
  <si>
    <t>Total (Gram)</t>
  </si>
  <si>
    <t>G/DP</t>
  </si>
  <si>
    <t>Total (Kg)</t>
  </si>
  <si>
    <t>QC Comments</t>
  </si>
  <si>
    <t>Omar Faruque</t>
  </si>
  <si>
    <t>OK</t>
  </si>
  <si>
    <t>Input cell</t>
  </si>
  <si>
    <t>Packaging Consumption</t>
  </si>
  <si>
    <t>Material</t>
  </si>
  <si>
    <t>Dimension</t>
  </si>
  <si>
    <t>Qty</t>
  </si>
  <si>
    <t>Weight(gm)</t>
  </si>
  <si>
    <t>MC/HTG (Piece)</t>
  </si>
  <si>
    <t>MC/HTG (KG)</t>
  </si>
  <si>
    <t xml:space="preserve">Sticker (Piece &amp; Each) </t>
  </si>
  <si>
    <t xml:space="preserve">Sticker (ROLL) </t>
  </si>
  <si>
    <t>Sticker (Piece &amp; Each) KG</t>
  </si>
  <si>
    <t>UIS (Piece)</t>
  </si>
  <si>
    <t>UIS (KG)</t>
  </si>
  <si>
    <t>SEWN LBL (Piece)</t>
  </si>
  <si>
    <t>SEWN LBL (Piece) KG</t>
  </si>
  <si>
    <t>Total Packaging Consumption (KG)</t>
  </si>
  <si>
    <t>Round MC</t>
  </si>
  <si>
    <t>10X23cm</t>
  </si>
  <si>
    <t>10pcs</t>
  </si>
  <si>
    <t xml:space="preserve">Sticker </t>
  </si>
  <si>
    <t>4x6cm</t>
  </si>
  <si>
    <t>10pcs outside+10pc inhouse</t>
  </si>
  <si>
    <t>1 roll</t>
  </si>
  <si>
    <t>UIS</t>
  </si>
  <si>
    <t>wurth+ES+A5+A4 (5pcs each)</t>
  </si>
  <si>
    <t>Sewn Label</t>
  </si>
  <si>
    <t>Skydda+ES+Shelby(10pcs each)</t>
  </si>
  <si>
    <t>HTs</t>
  </si>
  <si>
    <t>NFT-small+big+Watson-390(20pcs each)</t>
  </si>
  <si>
    <t>Carton Consumption</t>
  </si>
  <si>
    <t>Cartons used</t>
  </si>
  <si>
    <t>Carton weight</t>
  </si>
  <si>
    <t>Carton (KG)</t>
  </si>
  <si>
    <t>Total Packaging KG (Carton+Hanger+Poly+Packaging Consumption)</t>
  </si>
  <si>
    <t>MONTH</t>
  </si>
  <si>
    <t xml:space="preserve">Recycled Poly come from Vendor (KG) </t>
  </si>
  <si>
    <t>AMOUNT</t>
  </si>
  <si>
    <t>Virgin Paper and Recycled Paper</t>
  </si>
  <si>
    <t>Total Carton KG</t>
  </si>
  <si>
    <t>Recycled Paper KG</t>
  </si>
  <si>
    <t>Virgin Paper KG</t>
  </si>
  <si>
    <t>Glass Fiber</t>
  </si>
  <si>
    <t>Steel Yarn</t>
  </si>
  <si>
    <t>Materials</t>
  </si>
  <si>
    <t>Renewable-Yarn '000000000310000191; '000000000310000192; '000000003100002477; 000000003100002566; 000000003100000829; 000000003100002810</t>
  </si>
  <si>
    <t>Non-renewable- fabric- FABIHPL227; 'FABIHPLI30(P)</t>
  </si>
  <si>
    <r>
      <rPr>
        <b/>
        <i/>
        <sz val="11"/>
        <color rgb="FFFF0000"/>
        <rFont val="Book Antiqua"/>
        <family val="1"/>
      </rPr>
      <t>Raw materials</t>
    </r>
    <r>
      <rPr>
        <b/>
        <i/>
        <sz val="11"/>
        <color theme="1"/>
        <rFont val="Book Antiqua"/>
        <family val="1"/>
      </rPr>
      <t>, i.e., natural resources used for conversion to products or services, such as ores, minerals, and wood</t>
    </r>
  </si>
  <si>
    <r>
      <rPr>
        <b/>
        <i/>
        <sz val="11"/>
        <color rgb="FFFF0000"/>
        <rFont val="Book Antiqua"/>
        <family val="1"/>
      </rPr>
      <t>Process materials</t>
    </r>
    <r>
      <rPr>
        <b/>
        <i/>
        <sz val="11"/>
        <color theme="1"/>
        <rFont val="Book Antiqua"/>
        <family val="1"/>
      </rPr>
      <t>, i.e., materials that are needed for the manufacturing process but are not part of the final product, such as lubricants for manufacturing machinery</t>
    </r>
  </si>
  <si>
    <r>
      <rPr>
        <b/>
        <i/>
        <sz val="11"/>
        <color rgb="FFFF0000"/>
        <rFont val="Book Antiqua"/>
        <family val="1"/>
      </rPr>
      <t>Semi-manufactured goods</t>
    </r>
    <r>
      <rPr>
        <b/>
        <i/>
        <sz val="11"/>
        <color theme="1"/>
        <rFont val="Book Antiqua"/>
        <family val="1"/>
      </rPr>
      <t xml:space="preserve"> or parts, including all forms of materials and components other than raw materials that are part of the final product;</t>
    </r>
  </si>
  <si>
    <r>
      <rPr>
        <b/>
        <i/>
        <sz val="11"/>
        <color rgb="FFFF0000"/>
        <rFont val="Book Antiqua"/>
        <family val="1"/>
      </rPr>
      <t>Packaging Material,</t>
    </r>
    <r>
      <rPr>
        <b/>
        <i/>
        <sz val="11"/>
        <color theme="1"/>
        <rFont val="Book Antiqua"/>
        <family val="1"/>
      </rPr>
      <t xml:space="preserve"> i.e. materials for packaging purposes, including paper, cardboard and plastics;</t>
    </r>
  </si>
  <si>
    <r>
      <rPr>
        <b/>
        <i/>
        <sz val="11"/>
        <color rgb="FFFF0000"/>
        <rFont val="Book Antiqua"/>
        <family val="1"/>
      </rPr>
      <t>Renewable Materials</t>
    </r>
    <r>
      <rPr>
        <b/>
        <i/>
        <sz val="11"/>
        <color theme="1"/>
        <rFont val="Book Antiqua"/>
        <family val="1"/>
      </rPr>
      <t xml:space="preserve">, i.e. material that is derived from plentiful resources that are quickly replenished by ecological cycles or agricultural processes, so that the services </t>
    </r>
  </si>
  <si>
    <t>provided by these and other linked resources are not endangered
and remain available for the next generation</t>
  </si>
  <si>
    <r>
      <rPr>
        <b/>
        <i/>
        <sz val="11"/>
        <color rgb="FFFF0000"/>
        <rFont val="Book Antiqua"/>
        <family val="1"/>
      </rPr>
      <t xml:space="preserve">Non-Renewable material, </t>
    </r>
    <r>
      <rPr>
        <b/>
        <i/>
        <sz val="11"/>
        <color theme="1"/>
        <rFont val="Book Antiqua"/>
        <family val="1"/>
      </rPr>
      <t>i.e. resource that does not renew in short time periods. Note: Examples of non-renewable materials can include minerals, metals, oil, gas, or coal</t>
    </r>
  </si>
  <si>
    <t>2023 Chemical Consumption (KG)</t>
  </si>
  <si>
    <t>Material description</t>
  </si>
  <si>
    <t>Half yearly total</t>
  </si>
  <si>
    <t>ISOPAR H (EXXON MOBIL)</t>
  </si>
  <si>
    <t>LASTAB DE 565</t>
  </si>
  <si>
    <t>MARK 4119</t>
  </si>
  <si>
    <t>METHANOL</t>
  </si>
  <si>
    <t>METHYLENE CHLORIDE</t>
  </si>
  <si>
    <t>STABILIZER (BS-101)</t>
  </si>
  <si>
    <t>STABILIZER (LCZ-380AH/01)</t>
  </si>
  <si>
    <t>Total (KG)</t>
  </si>
  <si>
    <t>Total Production (DP)</t>
  </si>
  <si>
    <t>2024 Chemical Consumption (KG)</t>
  </si>
  <si>
    <t>Material Code</t>
  </si>
  <si>
    <t>Recylable</t>
  </si>
  <si>
    <t>7/S Navy Blue</t>
  </si>
  <si>
    <t>6/S Ash White</t>
  </si>
  <si>
    <t>5/S NAVY BLUE (75C-25P)</t>
  </si>
  <si>
    <t>6/S NATURAL (75C-25P)</t>
  </si>
  <si>
    <t>6/S BLEACHWHITE (75C-25P)</t>
  </si>
  <si>
    <t>7/S BLEACH WHITE (75C-25P)</t>
  </si>
  <si>
    <t>7/S NATURAL(75C-25P)</t>
  </si>
  <si>
    <t>6/S NAVY BLUE (75C-25P)</t>
  </si>
  <si>
    <t>10/S NATURAL</t>
  </si>
  <si>
    <t>7/S NAVY BLUE (10% Poly/90% Cotton)</t>
  </si>
  <si>
    <t>6/S CTB DARK (75C-25P)</t>
  </si>
  <si>
    <t>6'S TKB YARN (60% POLY/40% COTTON)</t>
  </si>
  <si>
    <t xml:space="preserve">7/S TKB Yarn </t>
  </si>
  <si>
    <t>6/S TC Raw White (65% Poly/35% Cotton)</t>
  </si>
  <si>
    <t xml:space="preserve">7/S TRC YARN (60% Polyester/40% Cotton) </t>
  </si>
  <si>
    <t>6.5/S CTX SGL</t>
  </si>
  <si>
    <t>Recycled 2/75D/36F Black Polyester</t>
  </si>
  <si>
    <t>FABSGL0297</t>
  </si>
  <si>
    <t>J133CTGRC</t>
  </si>
  <si>
    <t>Once Parvez vai take lead he finds this and modify</t>
  </si>
  <si>
    <t>Purchased Materials- 2023</t>
  </si>
  <si>
    <t>Material Purchased (USD)</t>
  </si>
  <si>
    <t>Local Purchase %</t>
  </si>
  <si>
    <t>Average %</t>
  </si>
  <si>
    <t>Purchased Materials- 2024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</si>
</sst>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8">
    <numFmt numFmtId="8" formatCode="&quot;$&quot;#,##0.00_);[Red]\(&quot;$&quot;#,##0.00\)"/>
    <numFmt numFmtId="44" formatCode="_(&quot;$&quot;* #,##0.00_);_(&quot;$&quot;* \(#,##0.00\);_(&quot;$&quot;* &quot;-&quot;??_);_(@_)"/>
    <numFmt numFmtId="43" formatCode="_(* #,##0.00_);_(* \(#,##0.00\);_(* &quot;-&quot;??_);_(@_)"/>
    <numFmt numFmtId="164" formatCode="_-* #,##0.00_-;\-* #,##0.00_-;_-* &quot;-&quot;??_-;_-@_-"/>
    <numFmt numFmtId="165" formatCode="_(* #,##0_);_(* \(#,##0\);_(* &quot;-&quot;??_);_(@_)"/>
    <numFmt numFmtId="166" formatCode="_(* #,##0.0000_);_(* \(#,##0.0000\);_(* &quot;-&quot;??_);_(@_)"/>
    <numFmt numFmtId="167" formatCode="0.0"/>
    <numFmt numFmtId="168" formatCode="#,##0.000"/>
    <numFmt numFmtId="169" formatCode="0.000"/>
    <numFmt numFmtId="170" formatCode="0.00000"/>
    <numFmt numFmtId="171" formatCode="0.00000000"/>
    <numFmt numFmtId="172" formatCode="0.000000000"/>
    <numFmt numFmtId="173" formatCode="0.0000000"/>
    <numFmt numFmtId="174" formatCode="0.000000"/>
    <numFmt numFmtId="175" formatCode="_(* #,##0.000_);_(* \(#,##0.000\);_(* &quot;-&quot;??_);_(@_)"/>
    <numFmt numFmtId="176" formatCode="0;\-0;"/>
    <numFmt numFmtId="177" formatCode="[$-409]d\-mmm\-yy;@"/>
    <numFmt numFmtId="178" formatCode="_(* #,##0.00_);_(* \(#,##0.00\);_(* \-??_);_(@_)"/>
    <numFmt numFmtId="179" formatCode="_(* #,##0_);_(* \(#,##0\);_(* \-??_);_(@_)"/>
    <numFmt numFmtId="180" formatCode="[$-409]d\-mmm;@"/>
    <numFmt numFmtId="181" formatCode="_(&quot;$&quot;* #,##0_);_(&quot;$&quot;* \(#,##0\);_(&quot;$&quot;* &quot;-&quot;??_);_(@_)"/>
    <numFmt numFmtId="182" formatCode="_(* #,##0.0_);_(* \(#,##0.0\);_(* &quot;-&quot;??_);_(@_)"/>
    <numFmt numFmtId="183" formatCode="0.0000"/>
    <numFmt numFmtId="184" formatCode="[$-409]mmm\-yy;@"/>
    <numFmt numFmtId="185" formatCode="0.000%"/>
    <numFmt numFmtId="186" formatCode="#,##0.0000"/>
    <numFmt numFmtId="187" formatCode="0.0000%"/>
    <numFmt numFmtId="188" formatCode="0.0%"/>
  </numFmts>
  <fonts count="134">
    <font>
      <sz val="11"/>
      <color theme="1"/>
      <name val="Calibri"/>
      <family val="2"/>
      <scheme val="minor"/>
    </font>
    <font>
      <sz val="11"/>
      <color theme="1"/>
      <name val="Calibri"/>
      <family val="2"/>
      <scheme val="minor"/>
    </font>
    <font>
      <sz val="11"/>
      <color rgb="FF000000"/>
      <name val="Calibri"/>
      <family val="2"/>
      <charset val="1"/>
    </font>
    <font>
      <u/>
      <sz val="11"/>
      <color theme="10"/>
      <name val="Calibri"/>
      <family val="2"/>
      <scheme val="minor"/>
    </font>
    <font>
      <sz val="12"/>
      <color theme="1"/>
      <name val="Trebuchet MS"/>
      <family val="2"/>
    </font>
    <font>
      <sz val="11"/>
      <color theme="1"/>
      <name val="Trebuchet MS"/>
      <family val="2"/>
    </font>
    <font>
      <b/>
      <sz val="12"/>
      <color theme="1"/>
      <name val="Trebuchet MS"/>
      <family val="2"/>
    </font>
    <font>
      <b/>
      <sz val="14"/>
      <color theme="1"/>
      <name val="Trebuchet MS"/>
      <family val="2"/>
    </font>
    <font>
      <sz val="9"/>
      <color theme="1"/>
      <name val="Trebuchet MS"/>
      <family val="2"/>
    </font>
    <font>
      <sz val="10"/>
      <color theme="1"/>
      <name val="Trebuchet MS"/>
      <family val="2"/>
    </font>
    <font>
      <b/>
      <sz val="11"/>
      <color theme="1"/>
      <name val="Trebuchet MS"/>
      <family val="2"/>
    </font>
    <font>
      <u/>
      <sz val="11"/>
      <color theme="10"/>
      <name val="Trebuchet MS"/>
      <family val="2"/>
    </font>
    <font>
      <b/>
      <sz val="14"/>
      <color theme="0"/>
      <name val="Trebuchet MS"/>
      <family val="2"/>
    </font>
    <font>
      <b/>
      <sz val="12"/>
      <color theme="9" tint="-0.499984740745262"/>
      <name val="Trebuchet MS"/>
      <family val="2"/>
    </font>
    <font>
      <b/>
      <sz val="11"/>
      <color theme="9" tint="-0.499984740745262"/>
      <name val="Trebuchet MS"/>
      <family val="2"/>
    </font>
    <font>
      <sz val="11"/>
      <color theme="9" tint="-0.499984740745262"/>
      <name val="Trebuchet MS"/>
      <family val="2"/>
    </font>
    <font>
      <b/>
      <sz val="14"/>
      <color theme="9" tint="-0.499984740745262"/>
      <name val="Trebuchet MS"/>
      <family val="2"/>
    </font>
    <font>
      <b/>
      <sz val="16"/>
      <color theme="0"/>
      <name val="Trebuchet MS"/>
      <family val="2"/>
    </font>
    <font>
      <b/>
      <sz val="18"/>
      <color theme="9" tint="-0.499984740745262"/>
      <name val="Trebuchet MS"/>
      <family val="2"/>
    </font>
    <font>
      <b/>
      <sz val="11"/>
      <color rgb="FFFF0000"/>
      <name val="Trebuchet MS"/>
      <family val="2"/>
    </font>
    <font>
      <b/>
      <sz val="16"/>
      <color theme="1"/>
      <name val="Trebuchet MS"/>
      <family val="2"/>
    </font>
    <font>
      <b/>
      <sz val="11"/>
      <color rgb="FF002060"/>
      <name val="Trebuchet MS"/>
      <family val="2"/>
    </font>
    <font>
      <b/>
      <sz val="10"/>
      <color theme="1"/>
      <name val="Trebuchet MS"/>
      <family val="2"/>
    </font>
    <font>
      <b/>
      <sz val="10"/>
      <color theme="8" tint="-0.249977111117893"/>
      <name val="Trebuchet MS"/>
      <family val="2"/>
    </font>
    <font>
      <b/>
      <sz val="9"/>
      <color theme="1"/>
      <name val="Trebuchet MS"/>
      <family val="2"/>
    </font>
    <font>
      <b/>
      <sz val="11"/>
      <name val="Trebuchet MS"/>
      <family val="2"/>
    </font>
    <font>
      <b/>
      <sz val="12"/>
      <color theme="7" tint="-0.499984740745262"/>
      <name val="Trebuchet MS"/>
      <family val="2"/>
    </font>
    <font>
      <sz val="12"/>
      <color theme="9" tint="-0.499984740745262"/>
      <name val="Trebuchet MS"/>
      <family val="2"/>
    </font>
    <font>
      <b/>
      <sz val="16"/>
      <color theme="9" tint="-0.499984740745262"/>
      <name val="Trebuchet MS"/>
      <family val="2"/>
    </font>
    <font>
      <sz val="11"/>
      <color theme="4" tint="-0.499984740745262"/>
      <name val="Trebuchet MS"/>
      <family val="2"/>
    </font>
    <font>
      <sz val="11"/>
      <color theme="7" tint="-0.499984740745262"/>
      <name val="Trebuchet MS"/>
      <family val="2"/>
    </font>
    <font>
      <sz val="11"/>
      <color rgb="FFC00000"/>
      <name val="Trebuchet MS"/>
      <family val="2"/>
    </font>
    <font>
      <sz val="11"/>
      <color theme="6" tint="-0.499984740745262"/>
      <name val="Trebuchet MS"/>
      <family val="2"/>
    </font>
    <font>
      <b/>
      <sz val="11"/>
      <color theme="4" tint="-0.499984740745262"/>
      <name val="Trebuchet MS"/>
      <family val="2"/>
    </font>
    <font>
      <b/>
      <sz val="11"/>
      <color theme="7" tint="-0.499984740745262"/>
      <name val="Trebuchet MS"/>
      <family val="2"/>
    </font>
    <font>
      <b/>
      <sz val="11"/>
      <color rgb="FFC00000"/>
      <name val="Trebuchet MS"/>
      <family val="2"/>
    </font>
    <font>
      <b/>
      <sz val="11"/>
      <color theme="6" tint="-0.499984740745262"/>
      <name val="Trebuchet MS"/>
      <family val="2"/>
    </font>
    <font>
      <b/>
      <sz val="12"/>
      <color theme="4" tint="-0.499984740745262"/>
      <name val="Trebuchet MS"/>
      <family val="2"/>
    </font>
    <font>
      <b/>
      <sz val="12"/>
      <color rgb="FFC00000"/>
      <name val="Trebuchet MS"/>
      <family val="2"/>
    </font>
    <font>
      <sz val="11"/>
      <color rgb="FF000000"/>
      <name val="Trebuchet MS"/>
      <family val="2"/>
    </font>
    <font>
      <sz val="11"/>
      <color theme="1" tint="4.9989318521683403E-2"/>
      <name val="Trebuchet MS"/>
      <family val="2"/>
    </font>
    <font>
      <b/>
      <sz val="11"/>
      <color theme="1" tint="4.9989318521683403E-2"/>
      <name val="Trebuchet MS"/>
      <family val="2"/>
    </font>
    <font>
      <b/>
      <sz val="12"/>
      <color theme="5" tint="-0.499984740745262"/>
      <name val="Trebuchet MS"/>
      <family val="2"/>
    </font>
    <font>
      <b/>
      <sz val="12"/>
      <color theme="1" tint="4.9989318521683403E-2"/>
      <name val="Trebuchet MS"/>
      <family val="2"/>
    </font>
    <font>
      <sz val="14"/>
      <color theme="1"/>
      <name val="Trebuchet MS"/>
      <family val="2"/>
    </font>
    <font>
      <sz val="10"/>
      <name val="Arial"/>
      <family val="2"/>
    </font>
    <font>
      <sz val="11"/>
      <color theme="0"/>
      <name val="Trebuchet MS"/>
      <family val="2"/>
    </font>
    <font>
      <b/>
      <i/>
      <sz val="10"/>
      <color theme="1"/>
      <name val="Book Antiqua"/>
      <family val="1"/>
    </font>
    <font>
      <b/>
      <sz val="10"/>
      <color theme="1"/>
      <name val="Book Antiqua"/>
      <family val="1"/>
    </font>
    <font>
      <sz val="11"/>
      <color theme="1"/>
      <name val="Book Antiqua"/>
      <family val="1"/>
    </font>
    <font>
      <sz val="11"/>
      <color theme="1"/>
      <name val="Calibri"/>
      <family val="2"/>
      <charset val="134"/>
      <scheme val="minor"/>
    </font>
    <font>
      <b/>
      <sz val="10"/>
      <color theme="9" tint="-0.499984740745262"/>
      <name val="Trebuchet MS"/>
      <family val="2"/>
    </font>
    <font>
      <b/>
      <sz val="12"/>
      <color theme="0"/>
      <name val="Trebuchet MS"/>
      <family val="2"/>
    </font>
    <font>
      <sz val="12"/>
      <color rgb="FF000000"/>
      <name val="Calibri"/>
      <family val="2"/>
      <scheme val="minor"/>
    </font>
    <font>
      <b/>
      <sz val="11"/>
      <color theme="1"/>
      <name val="Calibri"/>
      <family val="2"/>
      <scheme val="minor"/>
    </font>
    <font>
      <b/>
      <u/>
      <sz val="20"/>
      <color theme="1"/>
      <name val="Trebuchet MS"/>
      <family val="2"/>
    </font>
    <font>
      <sz val="11"/>
      <color theme="0"/>
      <name val="Calibri"/>
      <family val="2"/>
      <scheme val="minor"/>
    </font>
    <font>
      <b/>
      <sz val="9"/>
      <color rgb="FFFF0000"/>
      <name val="Calibri"/>
      <family val="2"/>
      <scheme val="minor"/>
    </font>
    <font>
      <b/>
      <sz val="9"/>
      <color rgb="FF002060"/>
      <name val="Calibri"/>
      <family val="2"/>
      <scheme val="minor"/>
    </font>
    <font>
      <b/>
      <sz val="11"/>
      <color theme="8" tint="-0.249977111117893"/>
      <name val="Calibri"/>
      <family val="2"/>
      <scheme val="minor"/>
    </font>
    <font>
      <b/>
      <sz val="11"/>
      <color rgb="FFFF0000"/>
      <name val="Calibri"/>
      <family val="2"/>
      <scheme val="minor"/>
    </font>
    <font>
      <b/>
      <u/>
      <sz val="11"/>
      <color theme="1"/>
      <name val="Calibri"/>
      <family val="2"/>
      <scheme val="minor"/>
    </font>
    <font>
      <sz val="11"/>
      <color rgb="FF202124"/>
      <name val="Calibri"/>
      <family val="2"/>
      <scheme val="minor"/>
    </font>
    <font>
      <sz val="11"/>
      <color theme="8" tint="-0.249977111117893"/>
      <name val="Calibri"/>
      <family val="2"/>
      <scheme val="minor"/>
    </font>
    <font>
      <sz val="11"/>
      <name val="Calibri"/>
      <family val="2"/>
      <scheme val="minor"/>
    </font>
    <font>
      <b/>
      <sz val="14"/>
      <color theme="1"/>
      <name val="Calibri"/>
      <family val="2"/>
      <scheme val="minor"/>
    </font>
    <font>
      <b/>
      <sz val="11"/>
      <color theme="8" tint="-0.249977111117893"/>
      <name val="Calibri"/>
      <family val="2"/>
    </font>
    <font>
      <sz val="11"/>
      <color theme="1"/>
      <name val="Calibri"/>
      <family val="2"/>
    </font>
    <font>
      <b/>
      <sz val="11"/>
      <color theme="4"/>
      <name val="Calibri"/>
      <family val="2"/>
      <scheme val="minor"/>
    </font>
    <font>
      <b/>
      <sz val="11"/>
      <color theme="1"/>
      <name val="Calibri"/>
      <family val="2"/>
    </font>
    <font>
      <sz val="14"/>
      <color theme="0"/>
      <name val="Calibri"/>
      <family val="2"/>
      <scheme val="minor"/>
    </font>
    <font>
      <b/>
      <sz val="12"/>
      <color theme="1"/>
      <name val="Calibri"/>
      <family val="2"/>
      <scheme val="minor"/>
    </font>
    <font>
      <sz val="11"/>
      <color rgb="FF000000"/>
      <name val="Calibri"/>
      <family val="2"/>
      <scheme val="minor"/>
    </font>
    <font>
      <b/>
      <sz val="11"/>
      <color theme="8"/>
      <name val="Calibri"/>
      <family val="2"/>
      <scheme val="minor"/>
    </font>
    <font>
      <sz val="11"/>
      <color rgb="FF0061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2"/>
      <color theme="0"/>
      <name val="Calibri"/>
      <family val="2"/>
      <scheme val="minor"/>
    </font>
    <font>
      <b/>
      <sz val="10"/>
      <color theme="0"/>
      <name val="Arial"/>
      <family val="2"/>
    </font>
    <font>
      <sz val="12"/>
      <name val="Calibri"/>
      <family val="2"/>
      <scheme val="minor"/>
    </font>
    <font>
      <b/>
      <sz val="11"/>
      <name val="Arial"/>
      <family val="2"/>
    </font>
    <font>
      <b/>
      <sz val="12"/>
      <name val="Calibri"/>
      <family val="2"/>
      <scheme val="minor"/>
    </font>
    <font>
      <sz val="11"/>
      <name val="Arial"/>
      <family val="2"/>
    </font>
    <font>
      <sz val="12"/>
      <color theme="1"/>
      <name val="Calibri"/>
      <family val="2"/>
      <scheme val="minor"/>
    </font>
    <font>
      <b/>
      <sz val="11"/>
      <color theme="1"/>
      <name val="Arial"/>
      <family val="2"/>
    </font>
    <font>
      <b/>
      <sz val="10"/>
      <name val="Arial"/>
      <family val="2"/>
    </font>
    <font>
      <sz val="11"/>
      <color rgb="FF000000"/>
      <name val="Calibri"/>
      <family val="2"/>
    </font>
    <font>
      <b/>
      <sz val="11"/>
      <color rgb="FF000000"/>
      <name val="Calibri"/>
      <family val="2"/>
    </font>
    <font>
      <b/>
      <sz val="16"/>
      <color rgb="FFFFFFFF"/>
      <name val="Calibri"/>
      <family val="2"/>
    </font>
    <font>
      <b/>
      <sz val="14"/>
      <color rgb="FF000000"/>
      <name val="Calibri"/>
      <family val="2"/>
    </font>
    <font>
      <sz val="8"/>
      <name val="Calibri"/>
      <family val="2"/>
      <scheme val="minor"/>
    </font>
    <font>
      <b/>
      <sz val="16"/>
      <color rgb="FF006100"/>
      <name val="Calibri"/>
      <family val="2"/>
      <scheme val="minor"/>
    </font>
    <font>
      <b/>
      <sz val="16"/>
      <color theme="0"/>
      <name val="Calibri"/>
      <family val="2"/>
      <scheme val="minor"/>
    </font>
    <font>
      <b/>
      <sz val="20"/>
      <color theme="0"/>
      <name val="Calibri"/>
      <family val="2"/>
      <scheme val="minor"/>
    </font>
    <font>
      <sz val="11"/>
      <color theme="0"/>
      <name val="Calibri"/>
      <family val="2"/>
      <charset val="1"/>
    </font>
    <font>
      <sz val="16"/>
      <color theme="0"/>
      <name val="Calibri"/>
      <family val="2"/>
      <scheme val="minor"/>
    </font>
    <font>
      <sz val="18"/>
      <color theme="0"/>
      <name val="Calibri"/>
      <family val="2"/>
      <scheme val="minor"/>
    </font>
    <font>
      <b/>
      <sz val="8"/>
      <color theme="1"/>
      <name val="Calibri"/>
      <family val="2"/>
      <scheme val="minor"/>
    </font>
    <font>
      <sz val="8"/>
      <color theme="1"/>
      <name val="Calibri"/>
      <family val="2"/>
      <scheme val="minor"/>
    </font>
    <font>
      <b/>
      <i/>
      <sz val="11"/>
      <color theme="1"/>
      <name val="Book Antiqua"/>
      <family val="1"/>
    </font>
    <font>
      <b/>
      <i/>
      <sz val="11"/>
      <color rgb="FFFF0000"/>
      <name val="Book Antiqua"/>
      <family val="1"/>
    </font>
    <font>
      <b/>
      <i/>
      <sz val="12"/>
      <color theme="1"/>
      <name val="Book Antiqua"/>
      <family val="1"/>
    </font>
    <font>
      <b/>
      <sz val="12"/>
      <color theme="1"/>
      <name val="Book Antiqua"/>
      <family val="1"/>
    </font>
    <font>
      <b/>
      <sz val="11"/>
      <color theme="1"/>
      <name val="Book Antiqua"/>
      <family val="1"/>
    </font>
    <font>
      <b/>
      <sz val="14"/>
      <color theme="1"/>
      <name val="Book Antiqua"/>
      <family val="1"/>
    </font>
    <font>
      <b/>
      <i/>
      <sz val="14"/>
      <color theme="1"/>
      <name val="Book Antiqua"/>
      <family val="1"/>
    </font>
    <font>
      <b/>
      <sz val="11"/>
      <color theme="4" tint="-0.249977111117893"/>
      <name val="Calibri"/>
      <family val="2"/>
      <scheme val="minor"/>
    </font>
    <font>
      <b/>
      <sz val="18"/>
      <color theme="0"/>
      <name val="Trebuchet MS"/>
      <family val="2"/>
    </font>
    <font>
      <sz val="16"/>
      <color theme="1"/>
      <name val="Trebuchet MS"/>
      <family val="2"/>
    </font>
    <font>
      <sz val="16"/>
      <color rgb="FFFA7D00"/>
      <name val="Calibri"/>
      <family val="2"/>
      <scheme val="minor"/>
    </font>
    <font>
      <sz val="11"/>
      <color rgb="FF0D0D0D"/>
      <name val="Trebuchet MS"/>
      <family val="2"/>
    </font>
    <font>
      <b/>
      <sz val="24"/>
      <color theme="1"/>
      <name val="Trebuchet MS"/>
      <family val="2"/>
    </font>
    <font>
      <sz val="8"/>
      <name val="Arial"/>
      <family val="2"/>
    </font>
    <font>
      <sz val="18"/>
      <color theme="9"/>
      <name val="Calibri"/>
      <family val="2"/>
      <scheme val="minor"/>
    </font>
    <font>
      <sz val="16"/>
      <name val="Calibri"/>
      <family val="2"/>
      <scheme val="minor"/>
    </font>
    <font>
      <i/>
      <sz val="16"/>
      <name val="Calibri"/>
      <family val="2"/>
      <scheme val="minor"/>
    </font>
    <font>
      <sz val="26"/>
      <color rgb="FFFFC000"/>
      <name val="Calibri"/>
      <family val="2"/>
      <scheme val="minor"/>
    </font>
    <font>
      <i/>
      <sz val="16"/>
      <color theme="0" tint="-0.499984740745262"/>
      <name val="Calibri"/>
      <family val="2"/>
      <scheme val="minor"/>
    </font>
    <font>
      <sz val="16"/>
      <color indexed="9"/>
      <name val="Calibri"/>
      <family val="2"/>
      <scheme val="minor"/>
    </font>
    <font>
      <b/>
      <i/>
      <sz val="16"/>
      <color indexed="9"/>
      <name val="Calibri"/>
      <family val="2"/>
      <scheme val="minor"/>
    </font>
    <font>
      <b/>
      <i/>
      <sz val="14"/>
      <name val="Calibri"/>
      <family val="2"/>
      <scheme val="minor"/>
    </font>
    <font>
      <b/>
      <sz val="13"/>
      <color theme="0"/>
      <name val="Calibri"/>
      <family val="2"/>
      <scheme val="minor"/>
    </font>
    <font>
      <b/>
      <sz val="14"/>
      <color theme="0" tint="-0.499984740745262"/>
      <name val="Calibri"/>
      <family val="2"/>
      <scheme val="minor"/>
    </font>
    <font>
      <sz val="12"/>
      <color theme="0" tint="-0.499984740745262"/>
      <name val="Calibri"/>
      <family val="2"/>
      <scheme val="minor"/>
    </font>
    <font>
      <b/>
      <sz val="12"/>
      <color rgb="FF0070C0"/>
      <name val="Calibri"/>
      <family val="2"/>
      <scheme val="minor"/>
    </font>
    <font>
      <b/>
      <sz val="12"/>
      <color rgb="FF008000"/>
      <name val="Calibri"/>
      <family val="2"/>
      <scheme val="minor"/>
    </font>
    <font>
      <sz val="8"/>
      <color theme="0" tint="-0.499984740745262"/>
      <name val="Calibri"/>
      <family val="2"/>
      <scheme val="minor"/>
    </font>
    <font>
      <sz val="8"/>
      <color rgb="FFFF0000"/>
      <name val="Calibri"/>
      <family val="2"/>
      <scheme val="minor"/>
    </font>
    <font>
      <sz val="9"/>
      <color indexed="81"/>
      <name val="Tahoma"/>
      <family val="2"/>
    </font>
    <font>
      <b/>
      <sz val="9"/>
      <color indexed="81"/>
      <name val="Tahoma"/>
      <family val="2"/>
    </font>
    <font>
      <sz val="8"/>
      <color indexed="81"/>
      <name val="Tahoma"/>
      <family val="2"/>
    </font>
    <font>
      <sz val="11"/>
      <name val="Calibri"/>
      <family val="2"/>
    </font>
    <font>
      <b/>
      <sz val="11"/>
      <color rgb="FF000000"/>
      <name val="Trebuchet MS"/>
      <family val="2"/>
    </font>
  </fonts>
  <fills count="56">
    <fill>
      <patternFill patternType="none"/>
    </fill>
    <fill>
      <patternFill patternType="gray125"/>
    </fill>
    <fill>
      <patternFill patternType="solid">
        <fgColor theme="0"/>
        <bgColor indexed="64"/>
      </patternFill>
    </fill>
    <fill>
      <patternFill patternType="solid">
        <fgColor theme="5" tint="0.79998168889431442"/>
        <bgColor indexed="64"/>
      </patternFill>
    </fill>
    <fill>
      <patternFill patternType="solid">
        <fgColor rgb="FFFFFFFF"/>
        <bgColor rgb="FFFFF2CC"/>
      </patternFill>
    </fill>
    <fill>
      <patternFill patternType="solid">
        <fgColor theme="9"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5" tint="-0.249977111117893"/>
        <bgColor indexed="64"/>
      </patternFill>
    </fill>
    <fill>
      <patternFill patternType="solid">
        <fgColor theme="9" tint="-0.49998474074526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theme="4" tint="0.59999389629810485"/>
        <bgColor indexed="64"/>
      </patternFill>
    </fill>
    <fill>
      <patternFill patternType="solid">
        <fgColor theme="5"/>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rgb="FF92D050"/>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rgb="FFC00000"/>
        <bgColor indexed="64"/>
      </patternFill>
    </fill>
    <fill>
      <patternFill patternType="solid">
        <fgColor rgb="FFFFFF00"/>
        <bgColor rgb="FFFFFF00"/>
      </patternFill>
    </fill>
    <fill>
      <patternFill patternType="solid">
        <fgColor theme="4" tint="-0.499984740745262"/>
        <bgColor indexed="64"/>
      </patternFill>
    </fill>
    <fill>
      <patternFill patternType="solid">
        <fgColor theme="8" tint="-0.499984740745262"/>
        <bgColor indexed="64"/>
      </patternFill>
    </fill>
    <fill>
      <patternFill patternType="solid">
        <fgColor rgb="FFC6EFCE"/>
      </patternFill>
    </fill>
    <fill>
      <patternFill patternType="solid">
        <fgColor rgb="FFA5A5A5"/>
      </patternFill>
    </fill>
    <fill>
      <patternFill patternType="solid">
        <fgColor theme="5"/>
      </patternFill>
    </fill>
    <fill>
      <patternFill patternType="solid">
        <fgColor rgb="FF002060"/>
        <bgColor indexed="64"/>
      </patternFill>
    </fill>
    <fill>
      <patternFill patternType="solid">
        <fgColor rgb="FFFF0000"/>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rgb="FF0070C0"/>
        <bgColor indexed="64"/>
      </patternFill>
    </fill>
    <fill>
      <patternFill patternType="solid">
        <fgColor rgb="FFD9D9D9"/>
        <bgColor indexed="64"/>
      </patternFill>
    </fill>
    <fill>
      <patternFill patternType="solid">
        <fgColor rgb="FFCCFF66"/>
        <bgColor indexed="64"/>
      </patternFill>
    </fill>
    <fill>
      <patternFill patternType="solid">
        <fgColor rgb="FFFFD13F"/>
        <bgColor indexed="64"/>
      </patternFill>
    </fill>
    <fill>
      <patternFill patternType="solid">
        <fgColor theme="0" tint="-0.14999847407452621"/>
        <bgColor indexed="64"/>
      </patternFill>
    </fill>
    <fill>
      <patternFill patternType="solid">
        <fgColor rgb="FFFF85B6"/>
        <bgColor indexed="64"/>
      </patternFill>
    </fill>
    <fill>
      <patternFill patternType="solid">
        <fgColor theme="4" tint="0.39997558519241921"/>
        <bgColor indexed="64"/>
      </patternFill>
    </fill>
    <fill>
      <patternFill patternType="solid">
        <fgColor theme="2" tint="-9.9978637043366805E-2"/>
        <bgColor indexed="64"/>
      </patternFill>
    </fill>
    <fill>
      <patternFill patternType="solid">
        <fgColor indexed="43"/>
        <bgColor indexed="64"/>
      </patternFill>
    </fill>
    <fill>
      <patternFill patternType="solid">
        <fgColor rgb="FFE1EA68"/>
        <bgColor indexed="64"/>
      </patternFill>
    </fill>
    <fill>
      <patternFill patternType="solid">
        <fgColor rgb="FF88EB71"/>
        <bgColor indexed="64"/>
      </patternFill>
    </fill>
    <fill>
      <patternFill patternType="solid">
        <fgColor theme="0" tint="-0.34998626667073579"/>
        <bgColor indexed="64"/>
      </patternFill>
    </fill>
    <fill>
      <patternFill patternType="solid">
        <fgColor theme="2"/>
        <bgColor indexed="64"/>
      </patternFill>
    </fill>
    <fill>
      <patternFill patternType="solid">
        <fgColor rgb="FFFF8BB2"/>
        <bgColor indexed="64"/>
      </patternFill>
    </fill>
    <fill>
      <patternFill patternType="solid">
        <fgColor rgb="FFADDB7B"/>
        <bgColor indexed="64"/>
      </patternFill>
    </fill>
    <fill>
      <patternFill patternType="solid">
        <fgColor theme="3" tint="0.59999389629810485"/>
        <bgColor indexed="64"/>
      </patternFill>
    </fill>
    <fill>
      <patternFill patternType="solid">
        <fgColor theme="4" tint="-0.24994659260841701"/>
        <bgColor indexed="64"/>
      </patternFill>
    </fill>
    <fill>
      <patternFill patternType="solid">
        <fgColor indexed="9"/>
        <bgColor indexed="64"/>
      </patternFill>
    </fill>
    <fill>
      <patternFill patternType="solid">
        <fgColor rgb="FFFFFF00"/>
        <bgColor rgb="FF000000"/>
      </patternFill>
    </fill>
    <fill>
      <patternFill patternType="solid">
        <fgColor rgb="FFFFFFFF"/>
        <bgColor rgb="FF000000"/>
      </patternFill>
    </fill>
  </fills>
  <borders count="139">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indexed="64"/>
      </left>
      <right style="medium">
        <color indexed="64"/>
      </right>
      <top/>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top style="thin">
        <color indexed="64"/>
      </top>
      <bottom style="medium">
        <color indexed="64"/>
      </bottom>
      <diagonal/>
    </border>
    <border>
      <left style="medium">
        <color indexed="64"/>
      </left>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style="medium">
        <color indexed="64"/>
      </top>
      <bottom style="thin">
        <color indexed="64"/>
      </bottom>
      <diagonal/>
    </border>
    <border>
      <left style="medium">
        <color indexed="64"/>
      </left>
      <right/>
      <top/>
      <bottom style="thin">
        <color indexed="64"/>
      </bottom>
      <diagonal/>
    </border>
    <border>
      <left/>
      <right style="thin">
        <color indexed="64"/>
      </right>
      <top style="thin">
        <color indexed="64"/>
      </top>
      <bottom/>
      <diagonal/>
    </border>
    <border>
      <left/>
      <right style="medium">
        <color indexed="64"/>
      </right>
      <top style="thin">
        <color indexed="64"/>
      </top>
      <bottom style="thin">
        <color indexed="64"/>
      </bottom>
      <diagonal/>
    </border>
    <border>
      <left/>
      <right style="medium">
        <color indexed="64"/>
      </right>
      <top style="thin">
        <color indexed="64"/>
      </top>
      <bottom/>
      <diagonal/>
    </border>
    <border>
      <left style="thin">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style="medium">
        <color indexed="64"/>
      </bottom>
      <diagonal/>
    </border>
    <border>
      <left/>
      <right style="medium">
        <color indexed="64"/>
      </right>
      <top/>
      <bottom style="thin">
        <color indexed="64"/>
      </bottom>
      <diagonal/>
    </border>
    <border>
      <left/>
      <right style="thin">
        <color indexed="64"/>
      </right>
      <top style="medium">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thin">
        <color indexed="64"/>
      </left>
      <right/>
      <top style="thin">
        <color indexed="64"/>
      </top>
      <bottom/>
      <diagonal/>
    </border>
    <border>
      <left style="medium">
        <color indexed="64"/>
      </left>
      <right style="medium">
        <color theme="1"/>
      </right>
      <top style="medium">
        <color indexed="64"/>
      </top>
      <bottom style="medium">
        <color indexed="64"/>
      </bottom>
      <diagonal/>
    </border>
    <border>
      <left style="medium">
        <color theme="1"/>
      </left>
      <right style="medium">
        <color theme="1"/>
      </right>
      <top style="medium">
        <color indexed="64"/>
      </top>
      <bottom style="medium">
        <color indexed="64"/>
      </bottom>
      <diagonal/>
    </border>
    <border>
      <left style="medium">
        <color theme="1"/>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theme="1" tint="4.9989318521683403E-2"/>
      </left>
      <right style="thin">
        <color theme="1" tint="4.9989318521683403E-2"/>
      </right>
      <top style="thin">
        <color theme="1" tint="4.9989318521683403E-2"/>
      </top>
      <bottom style="thin">
        <color theme="1" tint="4.9989318521683403E-2"/>
      </bottom>
      <diagonal/>
    </border>
    <border>
      <left style="thin">
        <color theme="1" tint="4.9989318521683403E-2"/>
      </left>
      <right/>
      <top style="thin">
        <color theme="1" tint="4.9989318521683403E-2"/>
      </top>
      <bottom style="thin">
        <color theme="1" tint="4.9989318521683403E-2"/>
      </bottom>
      <diagonal/>
    </border>
    <border>
      <left style="thin">
        <color theme="1" tint="4.9989318521683403E-2"/>
      </left>
      <right style="thin">
        <color theme="1" tint="4.9989318521683403E-2"/>
      </right>
      <top/>
      <bottom style="thin">
        <color theme="1" tint="4.9989318521683403E-2"/>
      </bottom>
      <diagonal/>
    </border>
    <border>
      <left style="thin">
        <color theme="1" tint="4.9989318521683403E-2"/>
      </left>
      <right/>
      <top/>
      <bottom style="thin">
        <color theme="1" tint="4.9989318521683403E-2"/>
      </bottom>
      <diagonal/>
    </border>
    <border>
      <left style="medium">
        <color indexed="64"/>
      </left>
      <right style="thin">
        <color theme="1" tint="4.9989318521683403E-2"/>
      </right>
      <top/>
      <bottom style="thin">
        <color theme="1" tint="4.9989318521683403E-2"/>
      </bottom>
      <diagonal/>
    </border>
    <border>
      <left style="thin">
        <color indexed="64"/>
      </left>
      <right style="medium">
        <color indexed="64"/>
      </right>
      <top/>
      <bottom style="thin">
        <color indexed="64"/>
      </bottom>
      <diagonal/>
    </border>
    <border>
      <left style="medium">
        <color indexed="64"/>
      </left>
      <right style="thin">
        <color theme="1" tint="4.9989318521683403E-2"/>
      </right>
      <top style="thin">
        <color theme="1" tint="4.9989318521683403E-2"/>
      </top>
      <bottom style="thin">
        <color theme="1" tint="4.9989318521683403E-2"/>
      </bottom>
      <diagonal/>
    </border>
    <border>
      <left style="medium">
        <color indexed="64"/>
      </left>
      <right style="thin">
        <color theme="1" tint="4.9989318521683403E-2"/>
      </right>
      <top style="thin">
        <color theme="1" tint="4.9989318521683403E-2"/>
      </top>
      <bottom style="medium">
        <color indexed="64"/>
      </bottom>
      <diagonal/>
    </border>
    <border>
      <left style="thin">
        <color theme="1" tint="4.9989318521683403E-2"/>
      </left>
      <right style="thin">
        <color theme="1" tint="4.9989318521683403E-2"/>
      </right>
      <top style="thin">
        <color theme="1" tint="4.9989318521683403E-2"/>
      </top>
      <bottom style="medium">
        <color indexed="64"/>
      </bottom>
      <diagonal/>
    </border>
    <border>
      <left style="thin">
        <color theme="1" tint="4.9989318521683403E-2"/>
      </left>
      <right/>
      <top style="thin">
        <color theme="1" tint="4.9989318521683403E-2"/>
      </top>
      <bottom style="medium">
        <color indexed="64"/>
      </bottom>
      <diagonal/>
    </border>
    <border>
      <left style="thin">
        <color indexed="64"/>
      </left>
      <right/>
      <top/>
      <bottom style="medium">
        <color indexed="64"/>
      </bottom>
      <diagonal/>
    </border>
    <border>
      <left style="medium">
        <color indexed="64"/>
      </left>
      <right/>
      <top style="medium">
        <color indexed="64"/>
      </top>
      <bottom style="thin">
        <color indexed="64"/>
      </bottom>
      <diagonal/>
    </border>
    <border>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medium">
        <color indexed="64"/>
      </left>
      <right/>
      <top/>
      <bottom/>
      <diagonal/>
    </border>
    <border>
      <left style="thin">
        <color indexed="64"/>
      </left>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top/>
      <bottom style="thin">
        <color indexed="64"/>
      </bottom>
      <diagonal/>
    </border>
    <border>
      <left/>
      <right style="thin">
        <color indexed="64"/>
      </right>
      <top style="thin">
        <color indexed="64"/>
      </top>
      <bottom style="medium">
        <color indexed="64"/>
      </bottom>
      <diagonal/>
    </border>
    <border>
      <left style="thin">
        <color indexed="64"/>
      </left>
      <right/>
      <top style="medium">
        <color indexed="64"/>
      </top>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right style="medium">
        <color indexed="64"/>
      </right>
      <top/>
      <bottom/>
      <diagonal/>
    </border>
    <border>
      <left/>
      <right/>
      <top style="thin">
        <color auto="1"/>
      </top>
      <bottom style="thin">
        <color auto="1"/>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medium">
        <color indexed="64"/>
      </left>
      <right style="thin">
        <color indexed="64"/>
      </right>
      <top/>
      <bottom/>
      <diagonal/>
    </border>
    <border>
      <left style="thin">
        <color indexed="64"/>
      </left>
      <right style="medium">
        <color indexed="64"/>
      </right>
      <top/>
      <bottom/>
      <diagonal/>
    </border>
    <border>
      <left/>
      <right style="medium">
        <color rgb="FF000000"/>
      </right>
      <top style="medium">
        <color indexed="64"/>
      </top>
      <bottom style="medium">
        <color indexed="64"/>
      </bottom>
      <diagonal/>
    </border>
    <border>
      <left/>
      <right style="thin">
        <color indexed="64"/>
      </right>
      <top style="medium">
        <color indexed="64"/>
      </top>
      <bottom/>
      <diagonal/>
    </border>
    <border>
      <left/>
      <right/>
      <top style="medium">
        <color indexed="64"/>
      </top>
      <bottom style="thin">
        <color indexed="64"/>
      </bottom>
      <diagonal/>
    </border>
    <border>
      <left/>
      <right/>
      <top style="thin">
        <color indexed="64"/>
      </top>
      <bottom style="medium">
        <color indexed="64"/>
      </bottom>
      <diagonal/>
    </border>
    <border>
      <left/>
      <right/>
      <top/>
      <bottom style="medium">
        <color indexed="22"/>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34998626667073579"/>
      </left>
      <right style="thin">
        <color theme="0" tint="-0.34998626667073579"/>
      </right>
      <top/>
      <bottom/>
      <diagonal/>
    </border>
    <border>
      <left style="thin">
        <color theme="0" tint="-0.34998626667073579"/>
      </left>
      <right style="thin">
        <color theme="0" tint="-0.34998626667073579"/>
      </right>
      <top/>
      <bottom style="thin">
        <color indexed="64"/>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style="thin">
        <color indexed="64"/>
      </top>
      <bottom style="thin">
        <color theme="0" tint="-0.34998626667073579"/>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style="thin">
        <color theme="0" tint="-0.34998626667073579"/>
      </top>
      <bottom style="thin">
        <color indexed="64"/>
      </bottom>
      <diagonal/>
    </border>
    <border>
      <left style="thin">
        <color theme="0" tint="-0.14996795556505021"/>
      </left>
      <right style="thin">
        <color theme="0" tint="-0.14996795556505021"/>
      </right>
      <top style="thin">
        <color theme="0" tint="-0.14996795556505021"/>
      </top>
      <bottom/>
      <diagonal/>
    </border>
    <border>
      <left style="thin">
        <color theme="0" tint="-0.14996795556505021"/>
      </left>
      <right style="thin">
        <color theme="0" tint="-0.14996795556505021"/>
      </right>
      <top/>
      <bottom/>
      <diagonal/>
    </border>
    <border>
      <left style="thin">
        <color theme="0" tint="-0.14996795556505021"/>
      </left>
      <right style="thin">
        <color theme="0" tint="-0.14996795556505021"/>
      </right>
      <top/>
      <bottom style="thin">
        <color theme="0" tint="-0.14996795556505021"/>
      </bottom>
      <diagonal/>
    </border>
    <border>
      <left style="thin">
        <color theme="0" tint="-0.34998626667073579"/>
      </left>
      <right style="thin">
        <color theme="0" tint="-0.34998626667073579"/>
      </right>
      <top style="thin">
        <color theme="0" tint="-0.14996795556505021"/>
      </top>
      <bottom/>
      <diagonal/>
    </border>
    <border>
      <left style="medium">
        <color rgb="FF000000"/>
      </left>
      <right style="thin">
        <color indexed="64"/>
      </right>
      <top style="medium">
        <color rgb="FF000000"/>
      </top>
      <bottom style="thin">
        <color indexed="64"/>
      </bottom>
      <diagonal/>
    </border>
    <border>
      <left style="thin">
        <color indexed="64"/>
      </left>
      <right style="thin">
        <color indexed="64"/>
      </right>
      <top style="medium">
        <color rgb="FF000000"/>
      </top>
      <bottom style="thin">
        <color indexed="64"/>
      </bottom>
      <diagonal/>
    </border>
    <border>
      <left style="thin">
        <color indexed="64"/>
      </left>
      <right style="thin">
        <color indexed="64"/>
      </right>
      <top style="medium">
        <color rgb="FF000000"/>
      </top>
      <bottom/>
      <diagonal/>
    </border>
    <border>
      <left style="thin">
        <color indexed="64"/>
      </left>
      <right style="medium">
        <color rgb="FF000000"/>
      </right>
      <top style="medium">
        <color rgb="FF000000"/>
      </top>
      <bottom style="thin">
        <color indexed="64"/>
      </bottom>
      <diagonal/>
    </border>
    <border>
      <left style="medium">
        <color rgb="FF000000"/>
      </left>
      <right style="thin">
        <color indexed="64"/>
      </right>
      <top style="thin">
        <color indexed="64"/>
      </top>
      <bottom style="thin">
        <color indexed="64"/>
      </bottom>
      <diagonal/>
    </border>
    <border>
      <left style="thin">
        <color indexed="64"/>
      </left>
      <right style="medium">
        <color rgb="FF000000"/>
      </right>
      <top style="thin">
        <color indexed="64"/>
      </top>
      <bottom style="thin">
        <color indexed="64"/>
      </bottom>
      <diagonal/>
    </border>
    <border>
      <left style="medium">
        <color rgb="FF000000"/>
      </left>
      <right style="thin">
        <color indexed="64"/>
      </right>
      <top style="thin">
        <color indexed="64"/>
      </top>
      <bottom style="medium">
        <color rgb="FF000000"/>
      </bottom>
      <diagonal/>
    </border>
    <border>
      <left style="thin">
        <color indexed="64"/>
      </left>
      <right style="thin">
        <color indexed="64"/>
      </right>
      <top style="thin">
        <color indexed="64"/>
      </top>
      <bottom style="medium">
        <color rgb="FF000000"/>
      </bottom>
      <diagonal/>
    </border>
    <border>
      <left style="thin">
        <color indexed="64"/>
      </left>
      <right style="thin">
        <color indexed="64"/>
      </right>
      <top/>
      <bottom style="medium">
        <color rgb="FF000000"/>
      </bottom>
      <diagonal/>
    </border>
    <border>
      <left style="thin">
        <color indexed="64"/>
      </left>
      <right style="medium">
        <color rgb="FF000000"/>
      </right>
      <top style="thin">
        <color indexed="64"/>
      </top>
      <bottom style="medium">
        <color rgb="FF000000"/>
      </bottom>
      <diagonal/>
    </border>
    <border>
      <left style="thin">
        <color rgb="FF000000"/>
      </left>
      <right/>
      <top style="thin">
        <color rgb="FF000000"/>
      </top>
      <bottom style="thin">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bottom style="medium">
        <color rgb="FF000000"/>
      </bottom>
      <diagonal/>
    </border>
    <border>
      <left style="medium">
        <color rgb="FF000000"/>
      </left>
      <right style="medium">
        <color indexed="64"/>
      </right>
      <top style="medium">
        <color rgb="FF000000"/>
      </top>
      <bottom style="thin">
        <color indexed="64"/>
      </bottom>
      <diagonal/>
    </border>
    <border>
      <left style="thin">
        <color indexed="64"/>
      </left>
      <right style="medium">
        <color indexed="64"/>
      </right>
      <top style="medium">
        <color rgb="FF000000"/>
      </top>
      <bottom style="thin">
        <color indexed="64"/>
      </bottom>
      <diagonal/>
    </border>
    <border>
      <left style="medium">
        <color indexed="64"/>
      </left>
      <right style="medium">
        <color rgb="FF000000"/>
      </right>
      <top style="medium">
        <color rgb="FF000000"/>
      </top>
      <bottom style="thin">
        <color indexed="64"/>
      </bottom>
      <diagonal/>
    </border>
    <border>
      <left style="medium">
        <color rgb="FF000000"/>
      </left>
      <right style="medium">
        <color indexed="64"/>
      </right>
      <top style="thin">
        <color indexed="64"/>
      </top>
      <bottom style="thin">
        <color indexed="64"/>
      </bottom>
      <diagonal/>
    </border>
    <border>
      <left style="medium">
        <color indexed="64"/>
      </left>
      <right style="medium">
        <color rgb="FF000000"/>
      </right>
      <top style="thin">
        <color indexed="64"/>
      </top>
      <bottom style="thin">
        <color indexed="64"/>
      </bottom>
      <diagonal/>
    </border>
    <border>
      <left style="medium">
        <color rgb="FF000000"/>
      </left>
      <right style="medium">
        <color indexed="64"/>
      </right>
      <top style="thin">
        <color indexed="64"/>
      </top>
      <bottom style="medium">
        <color rgb="FF000000"/>
      </bottom>
      <diagonal/>
    </border>
    <border>
      <left/>
      <right style="thin">
        <color indexed="64"/>
      </right>
      <top style="thin">
        <color indexed="64"/>
      </top>
      <bottom style="medium">
        <color rgb="FF000000"/>
      </bottom>
      <diagonal/>
    </border>
    <border>
      <left style="thin">
        <color indexed="64"/>
      </left>
      <right style="medium">
        <color indexed="64"/>
      </right>
      <top style="thin">
        <color indexed="64"/>
      </top>
      <bottom style="medium">
        <color rgb="FF000000"/>
      </bottom>
      <diagonal/>
    </border>
    <border>
      <left style="medium">
        <color indexed="64"/>
      </left>
      <right style="thin">
        <color indexed="64"/>
      </right>
      <top style="thin">
        <color indexed="64"/>
      </top>
      <bottom style="medium">
        <color rgb="FF000000"/>
      </bottom>
      <diagonal/>
    </border>
    <border>
      <left style="medium">
        <color indexed="64"/>
      </left>
      <right style="medium">
        <color rgb="FF000000"/>
      </right>
      <top style="thin">
        <color indexed="64"/>
      </top>
      <bottom style="medium">
        <color rgb="FF000000"/>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thin">
        <color indexed="64"/>
      </right>
      <top style="medium">
        <color rgb="FF000000"/>
      </top>
      <bottom style="medium">
        <color rgb="FF000000"/>
      </bottom>
      <diagonal/>
    </border>
    <border>
      <left style="thin">
        <color indexed="64"/>
      </left>
      <right style="thin">
        <color indexed="64"/>
      </right>
      <top style="medium">
        <color rgb="FF000000"/>
      </top>
      <bottom style="medium">
        <color rgb="FF000000"/>
      </bottom>
      <diagonal/>
    </border>
    <border>
      <left style="thin">
        <color indexed="64"/>
      </left>
      <right style="medium">
        <color rgb="FF000000"/>
      </right>
      <top style="medium">
        <color rgb="FF000000"/>
      </top>
      <bottom style="medium">
        <color rgb="FF000000"/>
      </bottom>
      <diagonal/>
    </border>
  </borders>
  <cellStyleXfs count="21">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0" borderId="0"/>
    <xf numFmtId="43" fontId="2" fillId="0" borderId="0" applyFont="0" applyFill="0" applyBorder="0" applyAlignment="0" applyProtection="0"/>
    <xf numFmtId="0" fontId="3" fillId="0" borderId="0" applyNumberFormat="0" applyFill="0" applyBorder="0" applyAlignment="0" applyProtection="0"/>
    <xf numFmtId="164" fontId="1" fillId="0" borderId="0" applyFont="0" applyFill="0" applyBorder="0" applyAlignment="0" applyProtection="0"/>
    <xf numFmtId="0" fontId="45" fillId="0" borderId="0"/>
    <xf numFmtId="43" fontId="1" fillId="0" borderId="0" applyFont="0" applyFill="0" applyBorder="0" applyAlignment="0" applyProtection="0"/>
    <xf numFmtId="0" fontId="1" fillId="0" borderId="0"/>
    <xf numFmtId="0" fontId="50" fillId="0" borderId="0">
      <alignment vertical="center"/>
    </xf>
    <xf numFmtId="43" fontId="50" fillId="0" borderId="0" applyFont="0" applyFill="0" applyBorder="0" applyAlignment="0" applyProtection="0"/>
    <xf numFmtId="44" fontId="1" fillId="0" borderId="0" applyFont="0" applyFill="0" applyBorder="0" applyAlignment="0" applyProtection="0"/>
    <xf numFmtId="178" fontId="2" fillId="0" borderId="0" applyBorder="0" applyProtection="0"/>
    <xf numFmtId="0" fontId="74" fillId="29" borderId="0" applyNumberFormat="0" applyBorder="0" applyAlignment="0" applyProtection="0"/>
    <xf numFmtId="0" fontId="75" fillId="0" borderId="88" applyNumberFormat="0" applyFill="0" applyAlignment="0" applyProtection="0"/>
    <xf numFmtId="0" fontId="76" fillId="30" borderId="89" applyNumberFormat="0" applyAlignment="0" applyProtection="0"/>
    <xf numFmtId="0" fontId="56" fillId="31" borderId="0" applyNumberFormat="0" applyBorder="0" applyAlignment="0" applyProtection="0"/>
    <xf numFmtId="0" fontId="113" fillId="0" borderId="0"/>
    <xf numFmtId="0" fontId="113" fillId="0" borderId="0"/>
    <xf numFmtId="0" fontId="113" fillId="0" borderId="0"/>
  </cellStyleXfs>
  <cellXfs count="2237">
    <xf numFmtId="0" fontId="0" fillId="0" borderId="0" xfId="0"/>
    <xf numFmtId="165" fontId="8" fillId="0" borderId="0" xfId="1" applyNumberFormat="1" applyFont="1" applyAlignment="1" applyProtection="1">
      <alignment wrapText="1"/>
    </xf>
    <xf numFmtId="0" fontId="5" fillId="0" borderId="0" xfId="0" applyFont="1"/>
    <xf numFmtId="0" fontId="5" fillId="0" borderId="0" xfId="0" applyFont="1" applyAlignment="1">
      <alignment vertical="center" wrapText="1"/>
    </xf>
    <xf numFmtId="0" fontId="8" fillId="0" borderId="0" xfId="0" applyFont="1" applyAlignment="1">
      <alignment vertical="center" wrapText="1"/>
    </xf>
    <xf numFmtId="0" fontId="8" fillId="0" borderId="0" xfId="0" applyFont="1"/>
    <xf numFmtId="0" fontId="6" fillId="0" borderId="0" xfId="0" applyFont="1" applyAlignment="1">
      <alignment horizontal="center"/>
    </xf>
    <xf numFmtId="0" fontId="5" fillId="0" borderId="0" xfId="0" applyFont="1" applyAlignment="1">
      <alignment vertical="center"/>
    </xf>
    <xf numFmtId="0" fontId="13" fillId="5" borderId="2" xfId="0" applyFont="1" applyFill="1" applyBorder="1" applyAlignment="1">
      <alignment vertical="center"/>
    </xf>
    <xf numFmtId="0" fontId="13" fillId="5" borderId="8" xfId="0" applyFont="1" applyFill="1" applyBorder="1"/>
    <xf numFmtId="0" fontId="13" fillId="5" borderId="9" xfId="0" applyFont="1" applyFill="1" applyBorder="1"/>
    <xf numFmtId="0" fontId="13" fillId="5" borderId="15" xfId="0" applyFont="1" applyFill="1" applyBorder="1"/>
    <xf numFmtId="0" fontId="13" fillId="5" borderId="2" xfId="0" applyFont="1" applyFill="1" applyBorder="1"/>
    <xf numFmtId="0" fontId="15" fillId="0" borderId="8" xfId="0" applyFont="1" applyBorder="1" applyProtection="1">
      <protection locked="0"/>
    </xf>
    <xf numFmtId="0" fontId="15" fillId="0" borderId="35" xfId="0" applyFont="1" applyBorder="1" applyProtection="1">
      <protection locked="0"/>
    </xf>
    <xf numFmtId="0" fontId="15" fillId="0" borderId="9" xfId="0" applyFont="1" applyBorder="1" applyProtection="1">
      <protection locked="0"/>
    </xf>
    <xf numFmtId="0" fontId="15" fillId="0" borderId="38" xfId="0" applyFont="1" applyBorder="1" applyProtection="1">
      <protection locked="0"/>
    </xf>
    <xf numFmtId="0" fontId="15" fillId="0" borderId="15" xfId="0" applyFont="1" applyBorder="1" applyProtection="1">
      <protection locked="0"/>
    </xf>
    <xf numFmtId="0" fontId="15" fillId="0" borderId="39" xfId="0" applyFont="1" applyBorder="1" applyProtection="1">
      <protection locked="0"/>
    </xf>
    <xf numFmtId="0" fontId="13" fillId="5" borderId="2" xfId="0" applyFont="1" applyFill="1" applyBorder="1" applyAlignment="1">
      <alignment horizontal="center"/>
    </xf>
    <xf numFmtId="43" fontId="15" fillId="5" borderId="14" xfId="1" applyFont="1" applyFill="1" applyBorder="1" applyProtection="1"/>
    <xf numFmtId="43" fontId="15" fillId="5" borderId="2" xfId="1" applyFont="1" applyFill="1" applyBorder="1" applyProtection="1"/>
    <xf numFmtId="165" fontId="10" fillId="0" borderId="8" xfId="1" applyNumberFormat="1" applyFont="1" applyBorder="1" applyProtection="1">
      <protection locked="0"/>
    </xf>
    <xf numFmtId="165" fontId="10" fillId="0" borderId="9" xfId="1" applyNumberFormat="1" applyFont="1" applyBorder="1" applyProtection="1">
      <protection locked="0"/>
    </xf>
    <xf numFmtId="165" fontId="10" fillId="0" borderId="15" xfId="1" applyNumberFormat="1" applyFont="1" applyBorder="1" applyProtection="1">
      <protection locked="0"/>
    </xf>
    <xf numFmtId="165" fontId="14" fillId="0" borderId="17" xfId="1" applyNumberFormat="1" applyFont="1" applyBorder="1" applyProtection="1">
      <protection locked="0"/>
    </xf>
    <xf numFmtId="165" fontId="14" fillId="0" borderId="18" xfId="1" applyNumberFormat="1" applyFont="1" applyBorder="1" applyProtection="1">
      <protection locked="0"/>
    </xf>
    <xf numFmtId="165" fontId="14" fillId="0" borderId="19" xfId="1" applyNumberFormat="1" applyFont="1" applyBorder="1" applyProtection="1">
      <protection locked="0"/>
    </xf>
    <xf numFmtId="165" fontId="14" fillId="0" borderId="8" xfId="1" applyNumberFormat="1" applyFont="1" applyBorder="1" applyProtection="1">
      <protection locked="0"/>
    </xf>
    <xf numFmtId="165" fontId="14" fillId="0" borderId="49" xfId="1" applyNumberFormat="1" applyFont="1" applyBorder="1" applyProtection="1">
      <protection locked="0"/>
    </xf>
    <xf numFmtId="165" fontId="14" fillId="0" borderId="25" xfId="1" applyNumberFormat="1" applyFont="1" applyBorder="1" applyProtection="1">
      <protection locked="0"/>
    </xf>
    <xf numFmtId="165" fontId="14" fillId="0" borderId="20" xfId="1" applyNumberFormat="1" applyFont="1" applyBorder="1" applyProtection="1">
      <protection locked="0"/>
    </xf>
    <xf numFmtId="165" fontId="14" fillId="0" borderId="1" xfId="1" applyNumberFormat="1" applyFont="1" applyBorder="1" applyProtection="1">
      <protection locked="0"/>
    </xf>
    <xf numFmtId="165" fontId="14" fillId="0" borderId="21" xfId="1" applyNumberFormat="1" applyFont="1" applyBorder="1" applyProtection="1">
      <protection locked="0"/>
    </xf>
    <xf numFmtId="165" fontId="14" fillId="0" borderId="9" xfId="1" applyNumberFormat="1" applyFont="1" applyBorder="1" applyProtection="1">
      <protection locked="0"/>
    </xf>
    <xf numFmtId="165" fontId="14" fillId="0" borderId="13" xfId="1" applyNumberFormat="1" applyFont="1" applyBorder="1" applyProtection="1">
      <protection locked="0"/>
    </xf>
    <xf numFmtId="165" fontId="14" fillId="0" borderId="3" xfId="1" applyNumberFormat="1" applyFont="1" applyBorder="1" applyProtection="1">
      <protection locked="0"/>
    </xf>
    <xf numFmtId="165" fontId="14" fillId="0" borderId="47" xfId="1" applyNumberFormat="1" applyFont="1" applyBorder="1" applyProtection="1">
      <protection locked="0"/>
    </xf>
    <xf numFmtId="165" fontId="14" fillId="0" borderId="4" xfId="1" applyNumberFormat="1" applyFont="1" applyBorder="1" applyProtection="1">
      <protection locked="0"/>
    </xf>
    <xf numFmtId="165" fontId="14" fillId="0" borderId="48" xfId="1" applyNumberFormat="1" applyFont="1" applyBorder="1" applyProtection="1">
      <protection locked="0"/>
    </xf>
    <xf numFmtId="165" fontId="14" fillId="0" borderId="15" xfId="1" applyNumberFormat="1" applyFont="1" applyBorder="1" applyProtection="1">
      <protection locked="0"/>
    </xf>
    <xf numFmtId="0" fontId="10" fillId="0" borderId="0" xfId="0" applyFont="1"/>
    <xf numFmtId="0" fontId="16" fillId="11" borderId="2" xfId="0" applyFont="1" applyFill="1" applyBorder="1" applyAlignment="1">
      <alignment horizontal="center" vertical="center"/>
    </xf>
    <xf numFmtId="0" fontId="7" fillId="0" borderId="0" xfId="0" applyFont="1"/>
    <xf numFmtId="0" fontId="10" fillId="0" borderId="0" xfId="0" applyFont="1" applyAlignment="1">
      <alignment horizontal="center" vertical="center"/>
    </xf>
    <xf numFmtId="0" fontId="13" fillId="5" borderId="7" xfId="0" applyFont="1" applyFill="1" applyBorder="1" applyAlignment="1">
      <alignment horizontal="center" vertical="center"/>
    </xf>
    <xf numFmtId="0" fontId="10" fillId="0" borderId="0" xfId="0" applyFont="1" applyAlignment="1">
      <alignment vertical="center"/>
    </xf>
    <xf numFmtId="165" fontId="14" fillId="5" borderId="35" xfId="1" applyNumberFormat="1" applyFont="1" applyFill="1" applyBorder="1" applyProtection="1"/>
    <xf numFmtId="165" fontId="14" fillId="5" borderId="8" xfId="1" applyNumberFormat="1" applyFont="1" applyFill="1" applyBorder="1" applyProtection="1"/>
    <xf numFmtId="165" fontId="18" fillId="11" borderId="35" xfId="1" applyNumberFormat="1" applyFont="1" applyFill="1" applyBorder="1" applyProtection="1"/>
    <xf numFmtId="165" fontId="14" fillId="5" borderId="38" xfId="1" applyNumberFormat="1" applyFont="1" applyFill="1" applyBorder="1" applyProtection="1"/>
    <xf numFmtId="165" fontId="14" fillId="5" borderId="9" xfId="1" applyNumberFormat="1" applyFont="1" applyFill="1" applyBorder="1" applyProtection="1"/>
    <xf numFmtId="165" fontId="18" fillId="11" borderId="38" xfId="1" applyNumberFormat="1" applyFont="1" applyFill="1" applyBorder="1" applyProtection="1"/>
    <xf numFmtId="165" fontId="14" fillId="5" borderId="39" xfId="1" applyNumberFormat="1" applyFont="1" applyFill="1" applyBorder="1" applyProtection="1"/>
    <xf numFmtId="165" fontId="14" fillId="5" borderId="15" xfId="1" applyNumberFormat="1" applyFont="1" applyFill="1" applyBorder="1" applyProtection="1"/>
    <xf numFmtId="165" fontId="18" fillId="11" borderId="39" xfId="1" applyNumberFormat="1" applyFont="1" applyFill="1" applyBorder="1" applyProtection="1"/>
    <xf numFmtId="165" fontId="14" fillId="5" borderId="12" xfId="1" applyNumberFormat="1" applyFont="1" applyFill="1" applyBorder="1" applyProtection="1"/>
    <xf numFmtId="165" fontId="14" fillId="5" borderId="2" xfId="1" applyNumberFormat="1" applyFont="1" applyFill="1" applyBorder="1" applyProtection="1"/>
    <xf numFmtId="165" fontId="18" fillId="11" borderId="12" xfId="1" applyNumberFormat="1" applyFont="1" applyFill="1" applyBorder="1" applyProtection="1"/>
    <xf numFmtId="165" fontId="14" fillId="0" borderId="10" xfId="1" applyNumberFormat="1" applyFont="1" applyBorder="1" applyProtection="1">
      <protection locked="0"/>
    </xf>
    <xf numFmtId="165" fontId="14" fillId="5" borderId="10" xfId="1" applyNumberFormat="1" applyFont="1" applyFill="1" applyBorder="1" applyProtection="1"/>
    <xf numFmtId="0" fontId="6" fillId="0" borderId="0" xfId="0" applyFont="1" applyAlignment="1">
      <alignment horizontal="center" vertical="center"/>
    </xf>
    <xf numFmtId="0" fontId="5" fillId="0" borderId="0" xfId="0" applyFont="1" applyAlignment="1">
      <alignment horizontal="center" vertical="center"/>
    </xf>
    <xf numFmtId="0" fontId="13" fillId="5" borderId="2" xfId="0" applyFont="1" applyFill="1" applyBorder="1" applyAlignment="1">
      <alignment horizontal="center" vertical="center"/>
    </xf>
    <xf numFmtId="0" fontId="13" fillId="5" borderId="14" xfId="0" applyFont="1" applyFill="1" applyBorder="1" applyAlignment="1">
      <alignment horizontal="center" vertical="center"/>
    </xf>
    <xf numFmtId="0" fontId="13" fillId="5" borderId="9" xfId="0" applyFont="1" applyFill="1" applyBorder="1" applyAlignment="1">
      <alignment horizontal="center" vertical="center"/>
    </xf>
    <xf numFmtId="0" fontId="13" fillId="5" borderId="15" xfId="0" applyFont="1" applyFill="1" applyBorder="1" applyAlignment="1">
      <alignment horizontal="center" vertical="center"/>
    </xf>
    <xf numFmtId="0" fontId="13" fillId="5" borderId="6" xfId="0" applyFont="1" applyFill="1" applyBorder="1" applyAlignment="1">
      <alignment horizontal="center" vertical="center"/>
    </xf>
    <xf numFmtId="0" fontId="13" fillId="5" borderId="2" xfId="0" applyFont="1" applyFill="1" applyBorder="1" applyAlignment="1">
      <alignment horizontal="center" vertical="center" wrapText="1"/>
    </xf>
    <xf numFmtId="0" fontId="13" fillId="5" borderId="6" xfId="0" applyFont="1" applyFill="1" applyBorder="1" applyAlignment="1">
      <alignment horizontal="center" vertical="center" wrapText="1"/>
    </xf>
    <xf numFmtId="0" fontId="13" fillId="5" borderId="7" xfId="0" applyFont="1" applyFill="1" applyBorder="1" applyAlignment="1">
      <alignment horizontal="center" vertical="center" wrapText="1"/>
    </xf>
    <xf numFmtId="0" fontId="10" fillId="0" borderId="0" xfId="0" applyFont="1" applyAlignment="1">
      <alignment horizontal="center" vertical="center" wrapText="1"/>
    </xf>
    <xf numFmtId="0" fontId="10" fillId="0" borderId="8" xfId="0" applyFont="1" applyBorder="1"/>
    <xf numFmtId="0" fontId="10" fillId="0" borderId="9" xfId="0" applyFont="1" applyBorder="1"/>
    <xf numFmtId="165" fontId="10" fillId="0" borderId="0" xfId="1" applyNumberFormat="1" applyFont="1" applyBorder="1" applyProtection="1"/>
    <xf numFmtId="0" fontId="10" fillId="5" borderId="2" xfId="0" applyFont="1" applyFill="1" applyBorder="1"/>
    <xf numFmtId="165" fontId="10" fillId="5" borderId="8" xfId="1" applyNumberFormat="1" applyFont="1" applyFill="1" applyBorder="1" applyProtection="1"/>
    <xf numFmtId="165" fontId="10" fillId="5" borderId="9" xfId="1" applyNumberFormat="1" applyFont="1" applyFill="1" applyBorder="1" applyProtection="1"/>
    <xf numFmtId="165" fontId="10" fillId="5" borderId="10" xfId="1" applyNumberFormat="1" applyFont="1" applyFill="1" applyBorder="1" applyProtection="1"/>
    <xf numFmtId="165" fontId="10" fillId="5" borderId="2" xfId="1" applyNumberFormat="1" applyFont="1" applyFill="1" applyBorder="1" applyProtection="1"/>
    <xf numFmtId="165" fontId="10" fillId="5" borderId="14" xfId="1" applyNumberFormat="1" applyFont="1" applyFill="1" applyBorder="1" applyProtection="1"/>
    <xf numFmtId="0" fontId="21" fillId="0" borderId="40" xfId="0" applyFont="1" applyBorder="1"/>
    <xf numFmtId="0" fontId="21" fillId="0" borderId="0" xfId="0" applyFont="1"/>
    <xf numFmtId="0" fontId="22" fillId="0" borderId="0" xfId="0" applyFont="1"/>
    <xf numFmtId="165" fontId="10" fillId="5" borderId="7" xfId="1" applyNumberFormat="1" applyFont="1" applyFill="1" applyBorder="1" applyProtection="1"/>
    <xf numFmtId="9" fontId="21" fillId="5" borderId="2" xfId="2" applyFont="1" applyFill="1" applyBorder="1" applyProtection="1"/>
    <xf numFmtId="0" fontId="10" fillId="0" borderId="0" xfId="0" applyFont="1" applyAlignment="1">
      <alignment horizontal="center"/>
    </xf>
    <xf numFmtId="0" fontId="10" fillId="0" borderId="15" xfId="0" applyFont="1" applyBorder="1"/>
    <xf numFmtId="0" fontId="24" fillId="0" borderId="0" xfId="0" applyFont="1"/>
    <xf numFmtId="10" fontId="10" fillId="5" borderId="8" xfId="2" applyNumberFormat="1" applyFont="1" applyFill="1" applyBorder="1" applyAlignment="1" applyProtection="1">
      <alignment horizontal="center" vertical="center"/>
    </xf>
    <xf numFmtId="10" fontId="10" fillId="5" borderId="9" xfId="2" applyNumberFormat="1" applyFont="1" applyFill="1" applyBorder="1" applyAlignment="1" applyProtection="1">
      <alignment horizontal="center" vertical="center"/>
    </xf>
    <xf numFmtId="10" fontId="10" fillId="5" borderId="10" xfId="2" applyNumberFormat="1" applyFont="1" applyFill="1" applyBorder="1" applyAlignment="1" applyProtection="1">
      <alignment horizontal="center" vertical="center"/>
    </xf>
    <xf numFmtId="0" fontId="10" fillId="5" borderId="7" xfId="0" applyFont="1" applyFill="1" applyBorder="1"/>
    <xf numFmtId="43" fontId="10" fillId="5" borderId="2" xfId="1" applyFont="1" applyFill="1" applyBorder="1" applyProtection="1"/>
    <xf numFmtId="165" fontId="10" fillId="5" borderId="15" xfId="1" applyNumberFormat="1" applyFont="1" applyFill="1" applyBorder="1" applyProtection="1"/>
    <xf numFmtId="0" fontId="10" fillId="0" borderId="0" xfId="0" applyFont="1" applyAlignment="1">
      <alignment wrapText="1"/>
    </xf>
    <xf numFmtId="0" fontId="10" fillId="0" borderId="9" xfId="0" applyFont="1" applyBorder="1" applyProtection="1">
      <protection locked="0"/>
    </xf>
    <xf numFmtId="0" fontId="10" fillId="0" borderId="15" xfId="0" applyFont="1" applyBorder="1" applyProtection="1">
      <protection locked="0"/>
    </xf>
    <xf numFmtId="165" fontId="25" fillId="5" borderId="2" xfId="1" applyNumberFormat="1" applyFont="1" applyFill="1" applyBorder="1" applyProtection="1"/>
    <xf numFmtId="165" fontId="25" fillId="5" borderId="14" xfId="1" applyNumberFormat="1" applyFont="1" applyFill="1" applyBorder="1" applyProtection="1"/>
    <xf numFmtId="165" fontId="25" fillId="5" borderId="9" xfId="1" applyNumberFormat="1" applyFont="1" applyFill="1" applyBorder="1" applyProtection="1"/>
    <xf numFmtId="165" fontId="25" fillId="5" borderId="10" xfId="1" applyNumberFormat="1" applyFont="1" applyFill="1" applyBorder="1" applyProtection="1"/>
    <xf numFmtId="9" fontId="25" fillId="5" borderId="2" xfId="2" applyFont="1" applyFill="1" applyBorder="1" applyProtection="1"/>
    <xf numFmtId="9" fontId="25" fillId="5" borderId="9" xfId="2" applyFont="1" applyFill="1" applyBorder="1" applyProtection="1"/>
    <xf numFmtId="0" fontId="10" fillId="0" borderId="8" xfId="0" applyFont="1" applyBorder="1" applyProtection="1">
      <protection locked="0"/>
    </xf>
    <xf numFmtId="9" fontId="25" fillId="5" borderId="8" xfId="2" applyFont="1" applyFill="1" applyBorder="1" applyProtection="1"/>
    <xf numFmtId="9" fontId="25" fillId="0" borderId="0" xfId="2" applyFont="1" applyFill="1" applyBorder="1" applyProtection="1"/>
    <xf numFmtId="165" fontId="25" fillId="5" borderId="7" xfId="1" applyNumberFormat="1" applyFont="1" applyFill="1" applyBorder="1" applyProtection="1"/>
    <xf numFmtId="0" fontId="13" fillId="5" borderId="14" xfId="0" applyFont="1" applyFill="1" applyBorder="1"/>
    <xf numFmtId="0" fontId="13" fillId="5" borderId="10" xfId="0" applyFont="1" applyFill="1" applyBorder="1"/>
    <xf numFmtId="0" fontId="10" fillId="0" borderId="59" xfId="0" applyFont="1" applyBorder="1" applyAlignment="1">
      <alignment vertical="center"/>
    </xf>
    <xf numFmtId="0" fontId="10" fillId="0" borderId="60" xfId="0" applyFont="1" applyBorder="1" applyAlignment="1">
      <alignment vertical="center"/>
    </xf>
    <xf numFmtId="0" fontId="10" fillId="0" borderId="61" xfId="0" applyFont="1" applyBorder="1" applyAlignment="1">
      <alignment vertical="center"/>
    </xf>
    <xf numFmtId="0" fontId="10" fillId="0" borderId="62" xfId="0" applyFont="1" applyBorder="1" applyAlignment="1">
      <alignment vertical="center"/>
    </xf>
    <xf numFmtId="0" fontId="26" fillId="5" borderId="2" xfId="0" applyFont="1" applyFill="1" applyBorder="1" applyAlignment="1">
      <alignment wrapText="1"/>
    </xf>
    <xf numFmtId="0" fontId="26" fillId="5" borderId="2" xfId="0" applyFont="1" applyFill="1" applyBorder="1"/>
    <xf numFmtId="165" fontId="10" fillId="0" borderId="0" xfId="1" applyNumberFormat="1" applyFont="1" applyProtection="1"/>
    <xf numFmtId="165" fontId="13" fillId="5" borderId="14" xfId="1" applyNumberFormat="1" applyFont="1" applyFill="1" applyBorder="1" applyProtection="1"/>
    <xf numFmtId="165" fontId="13" fillId="5" borderId="9" xfId="1" applyNumberFormat="1" applyFont="1" applyFill="1" applyBorder="1" applyProtection="1"/>
    <xf numFmtId="165" fontId="13" fillId="5" borderId="15" xfId="1" applyNumberFormat="1" applyFont="1" applyFill="1" applyBorder="1" applyProtection="1"/>
    <xf numFmtId="165" fontId="13" fillId="5" borderId="2" xfId="1" applyNumberFormat="1" applyFont="1" applyFill="1" applyBorder="1" applyProtection="1"/>
    <xf numFmtId="165" fontId="13" fillId="5" borderId="2" xfId="1" applyNumberFormat="1" applyFont="1" applyFill="1" applyBorder="1" applyAlignment="1" applyProtection="1">
      <alignment horizontal="center" vertical="center"/>
    </xf>
    <xf numFmtId="165" fontId="10" fillId="0" borderId="9" xfId="1" applyNumberFormat="1" applyFont="1" applyBorder="1" applyAlignment="1" applyProtection="1">
      <alignment horizontal="center" vertical="center"/>
    </xf>
    <xf numFmtId="165" fontId="10" fillId="0" borderId="10" xfId="1" applyNumberFormat="1" applyFont="1" applyBorder="1" applyAlignment="1" applyProtection="1">
      <alignment horizontal="center" vertical="center"/>
    </xf>
    <xf numFmtId="165" fontId="10" fillId="0" borderId="14" xfId="1" applyNumberFormat="1" applyFont="1" applyBorder="1" applyAlignment="1" applyProtection="1">
      <alignment horizontal="center" vertical="center"/>
    </xf>
    <xf numFmtId="165" fontId="10" fillId="5" borderId="7" xfId="1" applyNumberFormat="1" applyFont="1" applyFill="1" applyBorder="1" applyAlignment="1" applyProtection="1">
      <alignment horizontal="center" vertical="center"/>
    </xf>
    <xf numFmtId="165" fontId="10" fillId="5" borderId="2" xfId="1" applyNumberFormat="1" applyFont="1" applyFill="1" applyBorder="1" applyAlignment="1" applyProtection="1">
      <alignment horizontal="center" vertical="center"/>
    </xf>
    <xf numFmtId="165" fontId="13" fillId="5" borderId="2" xfId="1" applyNumberFormat="1" applyFont="1" applyFill="1" applyBorder="1" applyAlignment="1" applyProtection="1">
      <alignment horizontal="center" vertical="center" wrapText="1"/>
    </xf>
    <xf numFmtId="165" fontId="6" fillId="0" borderId="0" xfId="1" applyNumberFormat="1" applyFont="1" applyAlignment="1" applyProtection="1">
      <alignment wrapText="1"/>
    </xf>
    <xf numFmtId="165" fontId="5" fillId="0" borderId="0" xfId="1" applyNumberFormat="1" applyFont="1" applyAlignment="1" applyProtection="1">
      <alignment wrapText="1"/>
    </xf>
    <xf numFmtId="165" fontId="13" fillId="5" borderId="14" xfId="1" applyNumberFormat="1" applyFont="1" applyFill="1" applyBorder="1" applyAlignment="1" applyProtection="1">
      <alignment wrapText="1"/>
    </xf>
    <xf numFmtId="165" fontId="5" fillId="0" borderId="14" xfId="1" applyNumberFormat="1" applyFont="1" applyBorder="1" applyAlignment="1" applyProtection="1">
      <alignment wrapText="1"/>
      <protection locked="0"/>
    </xf>
    <xf numFmtId="165" fontId="5" fillId="0" borderId="36" xfId="1" applyNumberFormat="1" applyFont="1" applyBorder="1" applyAlignment="1" applyProtection="1">
      <alignment wrapText="1"/>
      <protection locked="0"/>
    </xf>
    <xf numFmtId="165" fontId="5" fillId="0" borderId="8" xfId="1" applyNumberFormat="1" applyFont="1" applyBorder="1" applyAlignment="1" applyProtection="1">
      <alignment wrapText="1"/>
      <protection locked="0"/>
    </xf>
    <xf numFmtId="165" fontId="5" fillId="0" borderId="45" xfId="1" applyNumberFormat="1" applyFont="1" applyBorder="1" applyAlignment="1" applyProtection="1">
      <alignment wrapText="1"/>
      <protection locked="0"/>
    </xf>
    <xf numFmtId="165" fontId="5" fillId="0" borderId="14" xfId="1" applyNumberFormat="1" applyFont="1" applyBorder="1" applyAlignment="1" applyProtection="1">
      <alignment wrapText="1"/>
    </xf>
    <xf numFmtId="165" fontId="13" fillId="5" borderId="9" xfId="1" applyNumberFormat="1" applyFont="1" applyFill="1" applyBorder="1" applyAlignment="1" applyProtection="1">
      <alignment wrapText="1"/>
    </xf>
    <xf numFmtId="165" fontId="5" fillId="0" borderId="9" xfId="1" applyNumberFormat="1" applyFont="1" applyBorder="1" applyAlignment="1" applyProtection="1">
      <alignment wrapText="1"/>
      <protection locked="0"/>
    </xf>
    <xf numFmtId="165" fontId="5" fillId="0" borderId="28" xfId="1" applyNumberFormat="1" applyFont="1" applyBorder="1" applyAlignment="1" applyProtection="1">
      <alignment wrapText="1"/>
      <protection locked="0"/>
    </xf>
    <xf numFmtId="165" fontId="5" fillId="0" borderId="38" xfId="1" applyNumberFormat="1" applyFont="1" applyBorder="1" applyAlignment="1" applyProtection="1">
      <alignment wrapText="1"/>
      <protection locked="0"/>
    </xf>
    <xf numFmtId="165" fontId="5" fillId="0" borderId="9" xfId="1" applyNumberFormat="1" applyFont="1" applyBorder="1" applyAlignment="1" applyProtection="1">
      <alignment wrapText="1"/>
    </xf>
    <xf numFmtId="43" fontId="5" fillId="0" borderId="9" xfId="1" applyFont="1" applyBorder="1" applyAlignment="1" applyProtection="1">
      <alignment wrapText="1"/>
    </xf>
    <xf numFmtId="165" fontId="13" fillId="5" borderId="15" xfId="1" applyNumberFormat="1" applyFont="1" applyFill="1" applyBorder="1" applyAlignment="1" applyProtection="1">
      <alignment wrapText="1"/>
    </xf>
    <xf numFmtId="165" fontId="5" fillId="0" borderId="15" xfId="1" applyNumberFormat="1" applyFont="1" applyBorder="1" applyAlignment="1" applyProtection="1">
      <alignment wrapText="1"/>
      <protection locked="0"/>
    </xf>
    <xf numFmtId="165" fontId="5" fillId="0" borderId="29" xfId="1" applyNumberFormat="1" applyFont="1" applyBorder="1" applyAlignment="1" applyProtection="1">
      <alignment wrapText="1"/>
      <protection locked="0"/>
    </xf>
    <xf numFmtId="165" fontId="5" fillId="0" borderId="10" xfId="1" applyNumberFormat="1" applyFont="1" applyBorder="1" applyAlignment="1" applyProtection="1">
      <alignment wrapText="1"/>
      <protection locked="0"/>
    </xf>
    <xf numFmtId="165" fontId="5" fillId="0" borderId="39" xfId="1" applyNumberFormat="1" applyFont="1" applyBorder="1" applyAlignment="1" applyProtection="1">
      <alignment wrapText="1"/>
      <protection locked="0"/>
    </xf>
    <xf numFmtId="165" fontId="5" fillId="0" borderId="15" xfId="1" applyNumberFormat="1" applyFont="1" applyBorder="1" applyAlignment="1" applyProtection="1">
      <alignment wrapText="1"/>
    </xf>
    <xf numFmtId="43" fontId="5" fillId="0" borderId="15" xfId="1" applyFont="1" applyBorder="1" applyAlignment="1" applyProtection="1">
      <alignment wrapText="1"/>
    </xf>
    <xf numFmtId="165" fontId="13" fillId="5" borderId="2" xfId="1" applyNumberFormat="1" applyFont="1" applyFill="1" applyBorder="1" applyAlignment="1" applyProtection="1">
      <alignment wrapText="1"/>
    </xf>
    <xf numFmtId="165" fontId="5" fillId="5" borderId="2" xfId="1" applyNumberFormat="1" applyFont="1" applyFill="1" applyBorder="1" applyAlignment="1" applyProtection="1">
      <alignment wrapText="1"/>
    </xf>
    <xf numFmtId="43" fontId="5" fillId="5" borderId="2" xfId="1" applyFont="1" applyFill="1" applyBorder="1" applyAlignment="1" applyProtection="1">
      <alignment wrapText="1"/>
    </xf>
    <xf numFmtId="165" fontId="6" fillId="0" borderId="0" xfId="1" applyNumberFormat="1" applyFont="1" applyAlignment="1" applyProtection="1">
      <alignment horizontal="center" wrapText="1"/>
    </xf>
    <xf numFmtId="165" fontId="9" fillId="0" borderId="0" xfId="1" applyNumberFormat="1" applyFont="1" applyAlignment="1" applyProtection="1">
      <alignment horizontal="center" wrapText="1"/>
    </xf>
    <xf numFmtId="165" fontId="6" fillId="0" borderId="0" xfId="1" applyNumberFormat="1" applyFont="1" applyAlignment="1" applyProtection="1">
      <alignment horizontal="center" vertical="center" wrapText="1"/>
    </xf>
    <xf numFmtId="165" fontId="13" fillId="5" borderId="8" xfId="1" applyNumberFormat="1" applyFont="1" applyFill="1" applyBorder="1" applyAlignment="1" applyProtection="1">
      <alignment wrapText="1"/>
    </xf>
    <xf numFmtId="165" fontId="5" fillId="0" borderId="17" xfId="1" applyNumberFormat="1" applyFont="1" applyBorder="1" applyAlignment="1" applyProtection="1">
      <alignment wrapText="1"/>
      <protection locked="0"/>
    </xf>
    <xf numFmtId="165" fontId="5" fillId="0" borderId="18" xfId="1" applyNumberFormat="1" applyFont="1" applyBorder="1" applyAlignment="1" applyProtection="1">
      <alignment wrapText="1"/>
      <protection locked="0"/>
    </xf>
    <xf numFmtId="165" fontId="5" fillId="0" borderId="25" xfId="1" applyNumberFormat="1" applyFont="1" applyBorder="1" applyAlignment="1" applyProtection="1">
      <alignment wrapText="1"/>
      <protection locked="0"/>
    </xf>
    <xf numFmtId="165" fontId="5" fillId="5" borderId="8" xfId="1" applyNumberFormat="1" applyFont="1" applyFill="1" applyBorder="1" applyAlignment="1" applyProtection="1">
      <alignment wrapText="1"/>
    </xf>
    <xf numFmtId="165" fontId="4" fillId="0" borderId="17" xfId="1" applyNumberFormat="1" applyFont="1" applyBorder="1" applyAlignment="1" applyProtection="1">
      <alignment horizontal="center" vertical="center" wrapText="1"/>
      <protection locked="0"/>
    </xf>
    <xf numFmtId="165" fontId="4" fillId="0" borderId="19" xfId="1" applyNumberFormat="1" applyFont="1" applyBorder="1" applyAlignment="1" applyProtection="1">
      <alignment horizontal="center" vertical="center" wrapText="1"/>
      <protection locked="0"/>
    </xf>
    <xf numFmtId="165" fontId="13" fillId="5" borderId="8" xfId="1" applyNumberFormat="1" applyFont="1" applyFill="1" applyBorder="1" applyAlignment="1" applyProtection="1">
      <alignment horizontal="center" vertical="center" wrapText="1"/>
    </xf>
    <xf numFmtId="165" fontId="5" fillId="0" borderId="19" xfId="1" applyNumberFormat="1" applyFont="1" applyBorder="1" applyAlignment="1" applyProtection="1">
      <alignment wrapText="1"/>
      <protection locked="0"/>
    </xf>
    <xf numFmtId="165" fontId="5" fillId="5" borderId="17" xfId="1" applyNumberFormat="1" applyFont="1" applyFill="1" applyBorder="1" applyAlignment="1" applyProtection="1">
      <alignment wrapText="1"/>
    </xf>
    <xf numFmtId="165" fontId="5" fillId="5" borderId="19" xfId="1" applyNumberFormat="1" applyFont="1" applyFill="1" applyBorder="1" applyAlignment="1" applyProtection="1">
      <alignment wrapText="1"/>
    </xf>
    <xf numFmtId="9" fontId="27" fillId="5" borderId="8" xfId="2" applyFont="1" applyFill="1" applyBorder="1" applyAlignment="1" applyProtection="1">
      <alignment wrapText="1"/>
    </xf>
    <xf numFmtId="165" fontId="5" fillId="0" borderId="20" xfId="1" applyNumberFormat="1" applyFont="1" applyBorder="1" applyAlignment="1" applyProtection="1">
      <alignment wrapText="1"/>
      <protection locked="0"/>
    </xf>
    <xf numFmtId="165" fontId="5" fillId="0" borderId="1" xfId="1" applyNumberFormat="1" applyFont="1" applyBorder="1" applyAlignment="1" applyProtection="1">
      <alignment wrapText="1"/>
      <protection locked="0"/>
    </xf>
    <xf numFmtId="165" fontId="5" fillId="0" borderId="3" xfId="1" applyNumberFormat="1" applyFont="1" applyBorder="1" applyAlignment="1" applyProtection="1">
      <alignment wrapText="1"/>
      <protection locked="0"/>
    </xf>
    <xf numFmtId="165" fontId="5" fillId="5" borderId="9" xfId="1" applyNumberFormat="1" applyFont="1" applyFill="1" applyBorder="1" applyAlignment="1" applyProtection="1">
      <alignment wrapText="1"/>
    </xf>
    <xf numFmtId="165" fontId="5" fillId="0" borderId="21" xfId="1" applyNumberFormat="1" applyFont="1" applyBorder="1" applyAlignment="1" applyProtection="1">
      <alignment wrapText="1"/>
      <protection locked="0"/>
    </xf>
    <xf numFmtId="165" fontId="13" fillId="5" borderId="9" xfId="1" applyNumberFormat="1" applyFont="1" applyFill="1" applyBorder="1" applyAlignment="1" applyProtection="1">
      <alignment horizontal="center" vertical="center" wrapText="1"/>
    </xf>
    <xf numFmtId="165" fontId="5" fillId="5" borderId="20" xfId="1" applyNumberFormat="1" applyFont="1" applyFill="1" applyBorder="1" applyAlignment="1" applyProtection="1">
      <alignment wrapText="1"/>
    </xf>
    <xf numFmtId="165" fontId="5" fillId="5" borderId="21" xfId="1" applyNumberFormat="1" applyFont="1" applyFill="1" applyBorder="1" applyAlignment="1" applyProtection="1">
      <alignment wrapText="1"/>
    </xf>
    <xf numFmtId="9" fontId="27" fillId="5" borderId="9" xfId="2" applyFont="1" applyFill="1" applyBorder="1" applyAlignment="1" applyProtection="1">
      <alignment wrapText="1"/>
    </xf>
    <xf numFmtId="165" fontId="13" fillId="5" borderId="10" xfId="1" applyNumberFormat="1" applyFont="1" applyFill="1" applyBorder="1" applyAlignment="1" applyProtection="1">
      <alignment wrapText="1"/>
    </xf>
    <xf numFmtId="165" fontId="5" fillId="0" borderId="22" xfId="1" applyNumberFormat="1" applyFont="1" applyBorder="1" applyAlignment="1" applyProtection="1">
      <alignment wrapText="1"/>
      <protection locked="0"/>
    </xf>
    <xf numFmtId="165" fontId="5" fillId="0" borderId="23" xfId="1" applyNumberFormat="1" applyFont="1" applyBorder="1" applyAlignment="1" applyProtection="1">
      <alignment wrapText="1"/>
      <protection locked="0"/>
    </xf>
    <xf numFmtId="165" fontId="5" fillId="0" borderId="26" xfId="1" applyNumberFormat="1" applyFont="1" applyBorder="1" applyAlignment="1" applyProtection="1">
      <alignment wrapText="1"/>
      <protection locked="0"/>
    </xf>
    <xf numFmtId="165" fontId="5" fillId="5" borderId="10" xfId="1" applyNumberFormat="1" applyFont="1" applyFill="1" applyBorder="1" applyAlignment="1" applyProtection="1">
      <alignment wrapText="1"/>
    </xf>
    <xf numFmtId="165" fontId="5" fillId="0" borderId="24" xfId="1" applyNumberFormat="1" applyFont="1" applyBorder="1" applyAlignment="1" applyProtection="1">
      <alignment wrapText="1"/>
      <protection locked="0"/>
    </xf>
    <xf numFmtId="165" fontId="13" fillId="5" borderId="10" xfId="1" applyNumberFormat="1" applyFont="1" applyFill="1" applyBorder="1" applyAlignment="1" applyProtection="1">
      <alignment horizontal="center" vertical="center" wrapText="1"/>
    </xf>
    <xf numFmtId="165" fontId="5" fillId="5" borderId="22" xfId="1" applyNumberFormat="1" applyFont="1" applyFill="1" applyBorder="1" applyAlignment="1" applyProtection="1">
      <alignment wrapText="1"/>
    </xf>
    <xf numFmtId="165" fontId="5" fillId="5" borderId="24" xfId="1" applyNumberFormat="1" applyFont="1" applyFill="1" applyBorder="1" applyAlignment="1" applyProtection="1">
      <alignment wrapText="1"/>
    </xf>
    <xf numFmtId="9" fontId="27" fillId="5" borderId="10" xfId="2" applyFont="1" applyFill="1" applyBorder="1" applyAlignment="1" applyProtection="1">
      <alignment wrapText="1"/>
    </xf>
    <xf numFmtId="165" fontId="27" fillId="5" borderId="2" xfId="1" applyNumberFormat="1" applyFont="1" applyFill="1" applyBorder="1" applyAlignment="1" applyProtection="1">
      <alignment wrapText="1"/>
    </xf>
    <xf numFmtId="9" fontId="27" fillId="5" borderId="2" xfId="2" applyFont="1" applyFill="1" applyBorder="1" applyAlignment="1" applyProtection="1">
      <alignment wrapText="1"/>
    </xf>
    <xf numFmtId="165" fontId="6" fillId="5" borderId="8" xfId="1" applyNumberFormat="1" applyFont="1" applyFill="1" applyBorder="1" applyAlignment="1" applyProtection="1">
      <alignment horizontal="center" vertical="center" wrapText="1"/>
    </xf>
    <xf numFmtId="43" fontId="5" fillId="5" borderId="8" xfId="1" applyFont="1" applyFill="1" applyBorder="1" applyAlignment="1" applyProtection="1">
      <alignment wrapText="1"/>
    </xf>
    <xf numFmtId="165" fontId="5" fillId="0" borderId="8" xfId="1" applyNumberFormat="1" applyFont="1" applyBorder="1" applyAlignment="1" applyProtection="1">
      <alignment horizontal="center" vertical="center" wrapText="1"/>
      <protection locked="0"/>
    </xf>
    <xf numFmtId="9" fontId="5" fillId="5" borderId="8" xfId="2" applyFont="1" applyFill="1" applyBorder="1" applyAlignment="1" applyProtection="1">
      <alignment wrapText="1"/>
    </xf>
    <xf numFmtId="165" fontId="6" fillId="5" borderId="9" xfId="1" applyNumberFormat="1" applyFont="1" applyFill="1" applyBorder="1" applyAlignment="1" applyProtection="1">
      <alignment horizontal="center" vertical="center" wrapText="1"/>
    </xf>
    <xf numFmtId="43" fontId="5" fillId="5" borderId="9" xfId="1" applyFont="1" applyFill="1" applyBorder="1" applyAlignment="1" applyProtection="1">
      <alignment wrapText="1"/>
    </xf>
    <xf numFmtId="165" fontId="5" fillId="0" borderId="9" xfId="1" applyNumberFormat="1" applyFont="1" applyBorder="1" applyAlignment="1" applyProtection="1">
      <alignment horizontal="center" vertical="center" wrapText="1"/>
      <protection locked="0"/>
    </xf>
    <xf numFmtId="9" fontId="5" fillId="5" borderId="9" xfId="2" applyFont="1" applyFill="1" applyBorder="1" applyAlignment="1" applyProtection="1">
      <alignment wrapText="1"/>
    </xf>
    <xf numFmtId="165" fontId="6" fillId="5" borderId="10" xfId="1" applyNumberFormat="1" applyFont="1" applyFill="1" applyBorder="1" applyAlignment="1" applyProtection="1">
      <alignment horizontal="center" vertical="center" wrapText="1"/>
    </xf>
    <xf numFmtId="43" fontId="5" fillId="5" borderId="10" xfId="1" applyFont="1" applyFill="1" applyBorder="1" applyAlignment="1" applyProtection="1">
      <alignment wrapText="1"/>
    </xf>
    <xf numFmtId="165" fontId="5" fillId="0" borderId="10" xfId="1" applyNumberFormat="1" applyFont="1" applyBorder="1" applyAlignment="1" applyProtection="1">
      <alignment horizontal="center" vertical="center" wrapText="1"/>
      <protection locked="0"/>
    </xf>
    <xf numFmtId="9" fontId="5" fillId="5" borderId="10" xfId="2" applyFont="1" applyFill="1" applyBorder="1" applyAlignment="1" applyProtection="1">
      <alignment wrapText="1"/>
    </xf>
    <xf numFmtId="9" fontId="5" fillId="5" borderId="2" xfId="2" applyFont="1" applyFill="1" applyBorder="1" applyAlignment="1" applyProtection="1">
      <alignment wrapText="1"/>
    </xf>
    <xf numFmtId="165" fontId="10" fillId="0" borderId="0" xfId="1" applyNumberFormat="1" applyFont="1" applyAlignment="1" applyProtection="1">
      <alignment horizontal="center" vertical="center" wrapText="1"/>
    </xf>
    <xf numFmtId="165" fontId="5" fillId="5" borderId="14" xfId="1" applyNumberFormat="1" applyFont="1" applyFill="1" applyBorder="1" applyAlignment="1" applyProtection="1">
      <alignment wrapText="1"/>
    </xf>
    <xf numFmtId="165" fontId="5" fillId="5" borderId="15" xfId="1" applyNumberFormat="1" applyFont="1" applyFill="1" applyBorder="1" applyAlignment="1" applyProtection="1">
      <alignment wrapText="1"/>
    </xf>
    <xf numFmtId="165" fontId="13" fillId="5" borderId="12" xfId="1" applyNumberFormat="1" applyFont="1" applyFill="1" applyBorder="1" applyAlignment="1" applyProtection="1">
      <alignment horizontal="center" vertical="center" wrapText="1"/>
    </xf>
    <xf numFmtId="165" fontId="5" fillId="5" borderId="12" xfId="1" applyNumberFormat="1" applyFont="1" applyFill="1" applyBorder="1" applyAlignment="1" applyProtection="1">
      <alignment wrapText="1"/>
    </xf>
    <xf numFmtId="0" fontId="15" fillId="5" borderId="2" xfId="0" applyFont="1" applyFill="1" applyBorder="1"/>
    <xf numFmtId="0" fontId="15" fillId="5" borderId="12" xfId="0" applyFont="1" applyFill="1" applyBorder="1"/>
    <xf numFmtId="0" fontId="13" fillId="10" borderId="2" xfId="0" applyFont="1" applyFill="1" applyBorder="1" applyAlignment="1">
      <alignment horizontal="center" vertical="center" wrapText="1"/>
    </xf>
    <xf numFmtId="0" fontId="13" fillId="5" borderId="42" xfId="0" applyFont="1" applyFill="1" applyBorder="1" applyAlignment="1">
      <alignment horizontal="center" vertical="center" wrapText="1"/>
    </xf>
    <xf numFmtId="0" fontId="13" fillId="5" borderId="11" xfId="0" applyFont="1" applyFill="1" applyBorder="1" applyAlignment="1">
      <alignment horizontal="center" vertical="center" wrapText="1"/>
    </xf>
    <xf numFmtId="165" fontId="14" fillId="5" borderId="32" xfId="1" applyNumberFormat="1" applyFont="1" applyFill="1" applyBorder="1" applyProtection="1"/>
    <xf numFmtId="165" fontId="14" fillId="5" borderId="33" xfId="1" applyNumberFormat="1" applyFont="1" applyFill="1" applyBorder="1" applyProtection="1"/>
    <xf numFmtId="165" fontId="14" fillId="5" borderId="34" xfId="1" applyNumberFormat="1" applyFont="1" applyFill="1" applyBorder="1" applyProtection="1"/>
    <xf numFmtId="165" fontId="14" fillId="5" borderId="46" xfId="1" applyNumberFormat="1" applyFont="1" applyFill="1" applyBorder="1" applyProtection="1"/>
    <xf numFmtId="165" fontId="14" fillId="5" borderId="50" xfId="1" applyNumberFormat="1" applyFont="1" applyFill="1" applyBorder="1" applyProtection="1"/>
    <xf numFmtId="43" fontId="5" fillId="10" borderId="8" xfId="1" applyFont="1" applyFill="1" applyBorder="1" applyAlignment="1" applyProtection="1">
      <alignment wrapText="1"/>
    </xf>
    <xf numFmtId="43" fontId="5" fillId="10" borderId="9" xfId="1" applyFont="1" applyFill="1" applyBorder="1" applyAlignment="1" applyProtection="1">
      <alignment wrapText="1"/>
    </xf>
    <xf numFmtId="43" fontId="5" fillId="10" borderId="10" xfId="1" applyFont="1" applyFill="1" applyBorder="1" applyAlignment="1" applyProtection="1">
      <alignment wrapText="1"/>
    </xf>
    <xf numFmtId="43" fontId="5" fillId="10" borderId="2" xfId="1" applyFont="1" applyFill="1" applyBorder="1" applyAlignment="1" applyProtection="1">
      <alignment wrapText="1"/>
    </xf>
    <xf numFmtId="43" fontId="5" fillId="10" borderId="8" xfId="1" applyFont="1" applyFill="1" applyBorder="1" applyAlignment="1" applyProtection="1">
      <alignment horizontal="center" vertical="center" wrapText="1"/>
    </xf>
    <xf numFmtId="43" fontId="5" fillId="10" borderId="9" xfId="1" applyFont="1" applyFill="1" applyBorder="1" applyAlignment="1" applyProtection="1">
      <alignment horizontal="center" vertical="center" wrapText="1"/>
    </xf>
    <xf numFmtId="43" fontId="5" fillId="10" borderId="10" xfId="1" applyFont="1" applyFill="1" applyBorder="1" applyAlignment="1" applyProtection="1">
      <alignment horizontal="center" vertical="center" wrapText="1"/>
    </xf>
    <xf numFmtId="165" fontId="10" fillId="10" borderId="14" xfId="1" applyNumberFormat="1" applyFont="1" applyFill="1" applyBorder="1" applyProtection="1"/>
    <xf numFmtId="165" fontId="10" fillId="10" borderId="9" xfId="1" applyNumberFormat="1" applyFont="1" applyFill="1" applyBorder="1" applyProtection="1"/>
    <xf numFmtId="165" fontId="10" fillId="10" borderId="15" xfId="1" applyNumberFormat="1" applyFont="1" applyFill="1" applyBorder="1" applyProtection="1"/>
    <xf numFmtId="43" fontId="10" fillId="10" borderId="2" xfId="1" applyFont="1" applyFill="1" applyBorder="1" applyProtection="1"/>
    <xf numFmtId="0" fontId="13" fillId="0" borderId="0" xfId="0" applyFont="1" applyAlignment="1">
      <alignment horizontal="left" vertical="center" wrapText="1"/>
    </xf>
    <xf numFmtId="0" fontId="13" fillId="0" borderId="0" xfId="0" applyFont="1" applyAlignment="1">
      <alignment horizontal="center" vertical="center"/>
    </xf>
    <xf numFmtId="0" fontId="31" fillId="0" borderId="0" xfId="0" applyFont="1" applyAlignment="1">
      <alignment horizontal="center" vertical="center"/>
    </xf>
    <xf numFmtId="0" fontId="13" fillId="5" borderId="52" xfId="0" applyFont="1" applyFill="1" applyBorder="1" applyAlignment="1">
      <alignment horizontal="left" vertical="center" wrapText="1" readingOrder="1"/>
    </xf>
    <xf numFmtId="0" fontId="13" fillId="5" borderId="53" xfId="0" applyFont="1" applyFill="1" applyBorder="1" applyAlignment="1">
      <alignment horizontal="center" vertical="center" readingOrder="1"/>
    </xf>
    <xf numFmtId="0" fontId="13" fillId="0" borderId="0" xfId="0" applyFont="1" applyAlignment="1">
      <alignment horizontal="left" vertical="center" wrapText="1" readingOrder="1"/>
    </xf>
    <xf numFmtId="0" fontId="13" fillId="0" borderId="0" xfId="0" applyFont="1" applyAlignment="1">
      <alignment horizontal="center" vertical="center" readingOrder="1"/>
    </xf>
    <xf numFmtId="0" fontId="33" fillId="0" borderId="0" xfId="0" applyFont="1" applyAlignment="1">
      <alignment horizontal="center" vertical="center" readingOrder="1"/>
    </xf>
    <xf numFmtId="9" fontId="33" fillId="0" borderId="0" xfId="2" applyFont="1" applyAlignment="1" applyProtection="1">
      <alignment horizontal="center" vertical="center" readingOrder="1"/>
    </xf>
    <xf numFmtId="0" fontId="34" fillId="0" borderId="0" xfId="0" applyFont="1" applyAlignment="1">
      <alignment horizontal="center" vertical="center" wrapText="1" readingOrder="1"/>
    </xf>
    <xf numFmtId="0" fontId="35" fillId="0" borderId="0" xfId="0" applyFont="1" applyAlignment="1">
      <alignment horizontal="center" vertical="center" readingOrder="1"/>
    </xf>
    <xf numFmtId="0" fontId="36" fillId="0" borderId="0" xfId="0" applyFont="1" applyAlignment="1">
      <alignment horizontal="center" vertical="center" readingOrder="1"/>
    </xf>
    <xf numFmtId="0" fontId="13" fillId="0" borderId="32" xfId="0" applyFont="1" applyBorder="1" applyAlignment="1">
      <alignment horizontal="left" vertical="center" wrapText="1" readingOrder="1"/>
    </xf>
    <xf numFmtId="0" fontId="13" fillId="0" borderId="33" xfId="0" applyFont="1" applyBorder="1" applyAlignment="1">
      <alignment horizontal="center" vertical="center" readingOrder="1"/>
    </xf>
    <xf numFmtId="9" fontId="33" fillId="8" borderId="33" xfId="2" applyFont="1" applyFill="1" applyBorder="1" applyAlignment="1" applyProtection="1">
      <alignment horizontal="center" vertical="center" readingOrder="1"/>
    </xf>
    <xf numFmtId="0" fontId="34" fillId="0" borderId="33" xfId="0" applyFont="1" applyBorder="1" applyAlignment="1">
      <alignment horizontal="center" vertical="center" wrapText="1" readingOrder="1"/>
    </xf>
    <xf numFmtId="0" fontId="35" fillId="0" borderId="33" xfId="0" applyFont="1" applyBorder="1" applyAlignment="1">
      <alignment horizontal="center" vertical="center" readingOrder="1"/>
    </xf>
    <xf numFmtId="0" fontId="36" fillId="0" borderId="34" xfId="0" applyFont="1" applyBorder="1" applyAlignment="1">
      <alignment horizontal="center" vertical="center" readingOrder="1"/>
    </xf>
    <xf numFmtId="0" fontId="13" fillId="0" borderId="17" xfId="0" applyFont="1" applyBorder="1" applyAlignment="1">
      <alignment horizontal="left" vertical="center" wrapText="1"/>
    </xf>
    <xf numFmtId="0" fontId="13" fillId="0" borderId="18" xfId="0" applyFont="1" applyBorder="1" applyAlignment="1">
      <alignment horizontal="center" vertical="center"/>
    </xf>
    <xf numFmtId="165" fontId="31" fillId="0" borderId="18" xfId="4" applyNumberFormat="1" applyFont="1" applyBorder="1" applyAlignment="1" applyProtection="1">
      <alignment horizontal="center" vertical="center"/>
    </xf>
    <xf numFmtId="0" fontId="13" fillId="0" borderId="20" xfId="0" applyFont="1" applyBorder="1" applyAlignment="1">
      <alignment horizontal="left" vertical="center" wrapText="1"/>
    </xf>
    <xf numFmtId="0" fontId="13" fillId="0" borderId="1" xfId="0" applyFont="1" applyBorder="1" applyAlignment="1">
      <alignment horizontal="center" vertical="center"/>
    </xf>
    <xf numFmtId="165" fontId="31" fillId="0" borderId="1" xfId="4" applyNumberFormat="1" applyFont="1" applyBorder="1" applyAlignment="1" applyProtection="1">
      <alignment horizontal="center" vertical="center"/>
    </xf>
    <xf numFmtId="0" fontId="13" fillId="0" borderId="22" xfId="0" applyFont="1" applyBorder="1" applyAlignment="1">
      <alignment horizontal="left" vertical="center" wrapText="1"/>
    </xf>
    <xf numFmtId="0" fontId="13" fillId="0" borderId="23" xfId="0" applyFont="1" applyBorder="1" applyAlignment="1">
      <alignment horizontal="center" vertical="center"/>
    </xf>
    <xf numFmtId="0" fontId="31" fillId="0" borderId="23" xfId="0" applyFont="1" applyBorder="1" applyAlignment="1">
      <alignment horizontal="center" vertical="center"/>
    </xf>
    <xf numFmtId="0" fontId="31" fillId="0" borderId="18" xfId="0" applyFont="1" applyBorder="1" applyAlignment="1">
      <alignment horizontal="center" vertical="center"/>
    </xf>
    <xf numFmtId="0" fontId="31" fillId="0" borderId="1" xfId="0" applyFont="1" applyBorder="1" applyAlignment="1">
      <alignment horizontal="center" vertical="center"/>
    </xf>
    <xf numFmtId="0" fontId="13" fillId="10" borderId="54" xfId="0" applyFont="1" applyFill="1" applyBorder="1" applyAlignment="1">
      <alignment horizontal="center" vertical="center" readingOrder="1"/>
    </xf>
    <xf numFmtId="0" fontId="37" fillId="6" borderId="53" xfId="0" applyFont="1" applyFill="1" applyBorder="1" applyAlignment="1">
      <alignment horizontal="center" vertical="center" readingOrder="1"/>
    </xf>
    <xf numFmtId="9" fontId="37" fillId="6" borderId="53" xfId="2" applyFont="1" applyFill="1" applyBorder="1" applyAlignment="1" applyProtection="1">
      <alignment horizontal="center" vertical="center" readingOrder="1"/>
    </xf>
    <xf numFmtId="0" fontId="26" fillId="7" borderId="53" xfId="0" applyFont="1" applyFill="1" applyBorder="1" applyAlignment="1">
      <alignment horizontal="center" vertical="center" wrapText="1" readingOrder="1"/>
    </xf>
    <xf numFmtId="0" fontId="38" fillId="3" borderId="53" xfId="0" applyFont="1" applyFill="1" applyBorder="1" applyAlignment="1">
      <alignment horizontal="center" vertical="center" wrapText="1" readingOrder="1"/>
    </xf>
    <xf numFmtId="0" fontId="13" fillId="5" borderId="55" xfId="0" applyFont="1" applyFill="1" applyBorder="1" applyAlignment="1">
      <alignment horizontal="center" vertical="center"/>
    </xf>
    <xf numFmtId="0" fontId="13" fillId="5" borderId="56" xfId="0" applyFont="1" applyFill="1" applyBorder="1" applyAlignment="1">
      <alignment horizontal="center" vertical="center"/>
    </xf>
    <xf numFmtId="0" fontId="13" fillId="5" borderId="57" xfId="0" applyFont="1" applyFill="1" applyBorder="1" applyAlignment="1">
      <alignment horizontal="center" vertical="center"/>
    </xf>
    <xf numFmtId="9" fontId="10" fillId="5" borderId="8" xfId="2" applyFont="1" applyFill="1" applyBorder="1" applyProtection="1"/>
    <xf numFmtId="9" fontId="10" fillId="5" borderId="9" xfId="2" applyFont="1" applyFill="1" applyBorder="1" applyProtection="1"/>
    <xf numFmtId="9" fontId="10" fillId="5" borderId="10" xfId="2" applyFont="1" applyFill="1" applyBorder="1" applyProtection="1"/>
    <xf numFmtId="43" fontId="10" fillId="5" borderId="14" xfId="1" applyFont="1" applyFill="1" applyBorder="1" applyProtection="1"/>
    <xf numFmtId="43" fontId="10" fillId="5" borderId="9" xfId="1" applyFont="1" applyFill="1" applyBorder="1" applyProtection="1"/>
    <xf numFmtId="43" fontId="10" fillId="5" borderId="15" xfId="1" applyFont="1" applyFill="1" applyBorder="1" applyProtection="1"/>
    <xf numFmtId="165" fontId="10" fillId="11" borderId="14" xfId="1" applyNumberFormat="1" applyFont="1" applyFill="1" applyBorder="1" applyProtection="1"/>
    <xf numFmtId="165" fontId="10" fillId="11" borderId="9" xfId="1" applyNumberFormat="1" applyFont="1" applyFill="1" applyBorder="1" applyProtection="1"/>
    <xf numFmtId="165" fontId="10" fillId="11" borderId="15" xfId="1" applyNumberFormat="1" applyFont="1" applyFill="1" applyBorder="1" applyProtection="1"/>
    <xf numFmtId="43" fontId="10" fillId="11" borderId="2" xfId="1" applyFont="1" applyFill="1" applyBorder="1" applyProtection="1"/>
    <xf numFmtId="0" fontId="13" fillId="10" borderId="2" xfId="0" applyFont="1" applyFill="1" applyBorder="1" applyAlignment="1">
      <alignment horizontal="center" vertical="center"/>
    </xf>
    <xf numFmtId="165" fontId="10" fillId="10" borderId="2" xfId="1" applyNumberFormat="1" applyFont="1" applyFill="1" applyBorder="1" applyProtection="1"/>
    <xf numFmtId="0" fontId="10" fillId="0" borderId="8" xfId="0" applyFont="1" applyBorder="1" applyAlignment="1" applyProtection="1">
      <alignment wrapText="1"/>
      <protection locked="0"/>
    </xf>
    <xf numFmtId="0" fontId="10" fillId="0" borderId="9" xfId="0" applyFont="1" applyBorder="1" applyAlignment="1" applyProtection="1">
      <alignment wrapText="1"/>
      <protection locked="0"/>
    </xf>
    <xf numFmtId="0" fontId="10" fillId="0" borderId="15" xfId="0" applyFont="1" applyBorder="1" applyAlignment="1" applyProtection="1">
      <alignment wrapText="1"/>
      <protection locked="0"/>
    </xf>
    <xf numFmtId="165" fontId="5" fillId="0" borderId="8" xfId="1" applyNumberFormat="1" applyFont="1" applyBorder="1" applyProtection="1">
      <protection locked="0"/>
    </xf>
    <xf numFmtId="165" fontId="5" fillId="0" borderId="9" xfId="1" applyNumberFormat="1" applyFont="1" applyBorder="1" applyProtection="1">
      <protection locked="0"/>
    </xf>
    <xf numFmtId="165" fontId="39" fillId="0" borderId="8" xfId="1" applyNumberFormat="1" applyFont="1" applyFill="1" applyBorder="1" applyAlignment="1" applyProtection="1">
      <alignment horizontal="center"/>
      <protection locked="0"/>
    </xf>
    <xf numFmtId="165" fontId="5" fillId="0" borderId="8" xfId="1" applyNumberFormat="1" applyFont="1" applyFill="1" applyBorder="1" applyAlignment="1" applyProtection="1">
      <alignment horizontal="center"/>
      <protection locked="0"/>
    </xf>
    <xf numFmtId="165" fontId="39" fillId="0" borderId="9" xfId="1" applyNumberFormat="1" applyFont="1" applyFill="1" applyBorder="1" applyAlignment="1" applyProtection="1">
      <alignment horizontal="center"/>
      <protection locked="0"/>
    </xf>
    <xf numFmtId="165" fontId="5" fillId="0" borderId="9" xfId="1" applyNumberFormat="1" applyFont="1" applyFill="1" applyBorder="1" applyAlignment="1" applyProtection="1">
      <alignment horizontal="center"/>
      <protection locked="0"/>
    </xf>
    <xf numFmtId="165" fontId="5" fillId="0" borderId="9" xfId="1" applyNumberFormat="1" applyFont="1" applyFill="1" applyBorder="1" applyAlignment="1" applyProtection="1">
      <alignment horizontal="right"/>
      <protection locked="0"/>
    </xf>
    <xf numFmtId="165" fontId="5" fillId="0" borderId="10" xfId="1" applyNumberFormat="1" applyFont="1" applyFill="1" applyBorder="1" applyAlignment="1" applyProtection="1">
      <alignment horizontal="center"/>
      <protection locked="0"/>
    </xf>
    <xf numFmtId="165" fontId="5" fillId="0" borderId="10" xfId="1" applyNumberFormat="1" applyFont="1" applyBorder="1" applyProtection="1">
      <protection locked="0"/>
    </xf>
    <xf numFmtId="3" fontId="5" fillId="0" borderId="9" xfId="0" applyNumberFormat="1" applyFont="1" applyBorder="1" applyAlignment="1" applyProtection="1">
      <alignment horizontal="right"/>
      <protection locked="0"/>
    </xf>
    <xf numFmtId="3" fontId="5" fillId="4" borderId="8" xfId="0" applyNumberFormat="1" applyFont="1" applyFill="1" applyBorder="1" applyAlignment="1" applyProtection="1">
      <alignment horizontal="right"/>
      <protection locked="0"/>
    </xf>
    <xf numFmtId="3" fontId="5" fillId="4" borderId="14" xfId="0" applyNumberFormat="1" applyFont="1" applyFill="1" applyBorder="1" applyAlignment="1" applyProtection="1">
      <alignment horizontal="right"/>
      <protection locked="0"/>
    </xf>
    <xf numFmtId="3" fontId="5" fillId="0" borderId="10" xfId="0" applyNumberFormat="1" applyFont="1" applyBorder="1" applyAlignment="1" applyProtection="1">
      <alignment horizontal="right"/>
      <protection locked="0"/>
    </xf>
    <xf numFmtId="0" fontId="5" fillId="0" borderId="8" xfId="0" applyFont="1" applyBorder="1" applyProtection="1">
      <protection locked="0"/>
    </xf>
    <xf numFmtId="0" fontId="5" fillId="0" borderId="9" xfId="0" applyFont="1" applyBorder="1" applyProtection="1">
      <protection locked="0"/>
    </xf>
    <xf numFmtId="165" fontId="5" fillId="0" borderId="14" xfId="1" applyNumberFormat="1" applyFont="1" applyBorder="1" applyProtection="1">
      <protection locked="0"/>
    </xf>
    <xf numFmtId="165" fontId="40" fillId="0" borderId="8" xfId="1" applyNumberFormat="1" applyFont="1" applyFill="1" applyBorder="1" applyAlignment="1" applyProtection="1">
      <alignment horizontal="center" vertical="center"/>
      <protection locked="0"/>
    </xf>
    <xf numFmtId="165" fontId="40" fillId="5" borderId="8" xfId="1" applyNumberFormat="1" applyFont="1" applyFill="1" applyBorder="1" applyAlignment="1" applyProtection="1">
      <alignment horizontal="center" vertical="center"/>
    </xf>
    <xf numFmtId="165" fontId="40" fillId="0" borderId="9" xfId="1" applyNumberFormat="1" applyFont="1" applyFill="1" applyBorder="1" applyAlignment="1" applyProtection="1">
      <alignment horizontal="center" vertical="center"/>
      <protection locked="0"/>
    </xf>
    <xf numFmtId="165" fontId="40" fillId="5" borderId="9" xfId="1" applyNumberFormat="1" applyFont="1" applyFill="1" applyBorder="1" applyAlignment="1" applyProtection="1">
      <alignment horizontal="center" vertical="center"/>
    </xf>
    <xf numFmtId="165" fontId="40" fillId="0" borderId="10" xfId="1" applyNumberFormat="1" applyFont="1" applyFill="1" applyBorder="1" applyAlignment="1" applyProtection="1">
      <alignment horizontal="center" vertical="center"/>
      <protection locked="0"/>
    </xf>
    <xf numFmtId="165" fontId="40" fillId="5" borderId="10" xfId="1" applyNumberFormat="1" applyFont="1" applyFill="1" applyBorder="1" applyAlignment="1" applyProtection="1">
      <alignment horizontal="center" vertical="center"/>
    </xf>
    <xf numFmtId="165" fontId="41" fillId="5" borderId="2" xfId="1" applyNumberFormat="1" applyFont="1" applyFill="1" applyBorder="1" applyAlignment="1" applyProtection="1">
      <alignment horizontal="center" vertical="center"/>
    </xf>
    <xf numFmtId="165" fontId="41" fillId="5" borderId="8" xfId="1" applyNumberFormat="1" applyFont="1" applyFill="1" applyBorder="1" applyAlignment="1" applyProtection="1">
      <alignment horizontal="center" vertical="center"/>
    </xf>
    <xf numFmtId="165" fontId="41" fillId="5" borderId="9" xfId="1" applyNumberFormat="1" applyFont="1" applyFill="1" applyBorder="1" applyAlignment="1" applyProtection="1">
      <alignment horizontal="center" vertical="center"/>
    </xf>
    <xf numFmtId="165" fontId="41" fillId="5" borderId="10" xfId="1" applyNumberFormat="1" applyFont="1" applyFill="1" applyBorder="1" applyAlignment="1" applyProtection="1">
      <alignment horizontal="center" vertical="center"/>
    </xf>
    <xf numFmtId="165" fontId="41" fillId="5" borderId="8" xfId="1" applyNumberFormat="1" applyFont="1" applyFill="1" applyBorder="1" applyProtection="1"/>
    <xf numFmtId="9" fontId="41" fillId="5" borderId="8" xfId="2" applyFont="1" applyFill="1" applyBorder="1" applyProtection="1"/>
    <xf numFmtId="165" fontId="41" fillId="5" borderId="9" xfId="1" applyNumberFormat="1" applyFont="1" applyFill="1" applyBorder="1" applyProtection="1"/>
    <xf numFmtId="9" fontId="41" fillId="5" borderId="9" xfId="2" applyFont="1" applyFill="1" applyBorder="1" applyProtection="1"/>
    <xf numFmtId="9" fontId="41" fillId="5" borderId="15" xfId="2" applyFont="1" applyFill="1" applyBorder="1" applyProtection="1"/>
    <xf numFmtId="165" fontId="40" fillId="0" borderId="8" xfId="1" applyNumberFormat="1" applyFont="1" applyBorder="1" applyProtection="1">
      <protection locked="0"/>
    </xf>
    <xf numFmtId="165" fontId="40" fillId="0" borderId="9" xfId="1" applyNumberFormat="1" applyFont="1" applyBorder="1" applyProtection="1">
      <protection locked="0"/>
    </xf>
    <xf numFmtId="165" fontId="41" fillId="0" borderId="8" xfId="1" applyNumberFormat="1" applyFont="1" applyFill="1" applyBorder="1" applyProtection="1"/>
    <xf numFmtId="165" fontId="41" fillId="0" borderId="9" xfId="1" applyNumberFormat="1" applyFont="1" applyFill="1" applyBorder="1" applyProtection="1"/>
    <xf numFmtId="0" fontId="42" fillId="3" borderId="1" xfId="0" applyFont="1" applyFill="1" applyBorder="1" applyAlignment="1">
      <alignment horizontal="left" vertical="center"/>
    </xf>
    <xf numFmtId="0" fontId="42" fillId="3" borderId="1" xfId="0" applyFont="1" applyFill="1" applyBorder="1"/>
    <xf numFmtId="0" fontId="10" fillId="0" borderId="63" xfId="0" applyFont="1" applyBorder="1" applyAlignment="1">
      <alignment vertical="center"/>
    </xf>
    <xf numFmtId="0" fontId="10" fillId="0" borderId="64" xfId="0" applyFont="1" applyBorder="1" applyAlignment="1">
      <alignment vertical="center"/>
    </xf>
    <xf numFmtId="0" fontId="10" fillId="0" borderId="65" xfId="0" applyFont="1" applyBorder="1" applyAlignment="1">
      <alignment vertical="center"/>
    </xf>
    <xf numFmtId="0" fontId="10" fillId="0" borderId="21" xfId="0" applyFont="1" applyBorder="1" applyAlignment="1">
      <alignment vertical="center"/>
    </xf>
    <xf numFmtId="0" fontId="10" fillId="0" borderId="66" xfId="0" applyFont="1" applyBorder="1" applyAlignment="1">
      <alignment vertical="center"/>
    </xf>
    <xf numFmtId="0" fontId="10" fillId="0" borderId="67" xfId="0" applyFont="1" applyBorder="1" applyAlignment="1">
      <alignment vertical="center"/>
    </xf>
    <xf numFmtId="0" fontId="10" fillId="0" borderId="68" xfId="0" applyFont="1" applyBorder="1" applyAlignment="1">
      <alignment vertical="center"/>
    </xf>
    <xf numFmtId="0" fontId="10" fillId="0" borderId="24" xfId="0" applyFont="1" applyBorder="1" applyAlignment="1">
      <alignment vertical="center"/>
    </xf>
    <xf numFmtId="0" fontId="6" fillId="0" borderId="0" xfId="0" applyFont="1" applyAlignment="1">
      <alignment vertical="center"/>
    </xf>
    <xf numFmtId="0" fontId="4" fillId="0" borderId="0" xfId="0" applyFont="1"/>
    <xf numFmtId="0" fontId="6" fillId="0" borderId="36" xfId="0" applyFont="1" applyBorder="1" applyAlignment="1">
      <alignment vertical="center"/>
    </xf>
    <xf numFmtId="0" fontId="4" fillId="0" borderId="17" xfId="0" applyFont="1" applyBorder="1" applyProtection="1">
      <protection locked="0"/>
    </xf>
    <xf numFmtId="0" fontId="4" fillId="0" borderId="18" xfId="0" applyFont="1" applyBorder="1" applyProtection="1">
      <protection locked="0"/>
    </xf>
    <xf numFmtId="0" fontId="4" fillId="0" borderId="19" xfId="0" applyFont="1" applyBorder="1" applyProtection="1">
      <protection locked="0"/>
    </xf>
    <xf numFmtId="0" fontId="6" fillId="2" borderId="28" xfId="0" applyFont="1" applyFill="1" applyBorder="1" applyAlignment="1">
      <alignment vertical="center"/>
    </xf>
    <xf numFmtId="0" fontId="4" fillId="0" borderId="20" xfId="0" applyFont="1" applyBorder="1" applyProtection="1">
      <protection locked="0"/>
    </xf>
    <xf numFmtId="0" fontId="4" fillId="0" borderId="1" xfId="0" applyFont="1" applyBorder="1" applyProtection="1">
      <protection locked="0"/>
    </xf>
    <xf numFmtId="0" fontId="4" fillId="0" borderId="21" xfId="0" applyFont="1" applyBorder="1" applyProtection="1">
      <protection locked="0"/>
    </xf>
    <xf numFmtId="0" fontId="6" fillId="0" borderId="28" xfId="0" applyFont="1" applyBorder="1" applyAlignment="1">
      <alignment vertical="center"/>
    </xf>
    <xf numFmtId="0" fontId="6" fillId="0" borderId="29" xfId="0" applyFont="1" applyBorder="1" applyAlignment="1">
      <alignment vertical="center"/>
    </xf>
    <xf numFmtId="0" fontId="4" fillId="0" borderId="22" xfId="0" applyFont="1" applyBorder="1" applyProtection="1">
      <protection locked="0"/>
    </xf>
    <xf numFmtId="0" fontId="4" fillId="0" borderId="23" xfId="0" applyFont="1" applyBorder="1" applyProtection="1">
      <protection locked="0"/>
    </xf>
    <xf numFmtId="0" fontId="4" fillId="0" borderId="24" xfId="0" applyFont="1" applyBorder="1" applyProtection="1">
      <protection locked="0"/>
    </xf>
    <xf numFmtId="0" fontId="6" fillId="0" borderId="27" xfId="0" applyFont="1" applyBorder="1" applyAlignment="1">
      <alignment vertical="center"/>
    </xf>
    <xf numFmtId="0" fontId="6" fillId="0" borderId="9" xfId="0" applyFont="1" applyBorder="1" applyAlignment="1">
      <alignment vertical="center"/>
    </xf>
    <xf numFmtId="0" fontId="6" fillId="0" borderId="7" xfId="0" applyFont="1" applyBorder="1" applyAlignment="1">
      <alignment vertical="center"/>
    </xf>
    <xf numFmtId="0" fontId="6" fillId="0" borderId="14" xfId="0" applyFont="1" applyBorder="1" applyAlignment="1">
      <alignment vertical="center"/>
    </xf>
    <xf numFmtId="0" fontId="6" fillId="0" borderId="15" xfId="0" applyFont="1" applyBorder="1" applyAlignment="1">
      <alignment vertical="center"/>
    </xf>
    <xf numFmtId="0" fontId="6" fillId="0" borderId="10" xfId="0" applyFont="1" applyBorder="1" applyAlignment="1">
      <alignment vertical="center"/>
    </xf>
    <xf numFmtId="0" fontId="43" fillId="0" borderId="10" xfId="0" applyFont="1" applyBorder="1" applyAlignment="1">
      <alignment vertical="center"/>
    </xf>
    <xf numFmtId="0" fontId="16" fillId="5" borderId="2" xfId="0" applyFont="1" applyFill="1" applyBorder="1" applyAlignment="1">
      <alignment horizontal="center" vertical="center"/>
    </xf>
    <xf numFmtId="0" fontId="44" fillId="0" borderId="0" xfId="0" applyFont="1"/>
    <xf numFmtId="0" fontId="16" fillId="5" borderId="6" xfId="0" applyFont="1" applyFill="1" applyBorder="1" applyAlignment="1">
      <alignment horizontal="center"/>
    </xf>
    <xf numFmtId="0" fontId="12" fillId="9" borderId="2" xfId="0" applyFont="1" applyFill="1" applyBorder="1" applyAlignment="1">
      <alignment horizontal="left" vertical="center"/>
    </xf>
    <xf numFmtId="0" fontId="6" fillId="0" borderId="15" xfId="0" applyFont="1" applyBorder="1" applyAlignment="1">
      <alignment vertical="center" wrapText="1"/>
    </xf>
    <xf numFmtId="0" fontId="20" fillId="0" borderId="0" xfId="0" applyFont="1"/>
    <xf numFmtId="0" fontId="10" fillId="0" borderId="0" xfId="0" applyFont="1" applyAlignment="1">
      <alignment horizontal="left"/>
    </xf>
    <xf numFmtId="165" fontId="5" fillId="0" borderId="14" xfId="1" applyNumberFormat="1" applyFont="1" applyBorder="1" applyAlignment="1" applyProtection="1">
      <alignment horizontal="center" vertical="center"/>
      <protection locked="0"/>
    </xf>
    <xf numFmtId="165" fontId="5" fillId="0" borderId="8" xfId="1" applyNumberFormat="1" applyFont="1" applyBorder="1" applyAlignment="1" applyProtection="1">
      <alignment horizontal="center" vertical="center"/>
      <protection locked="0"/>
    </xf>
    <xf numFmtId="165" fontId="5" fillId="0" borderId="9" xfId="1" applyNumberFormat="1" applyFont="1" applyBorder="1" applyAlignment="1" applyProtection="1">
      <alignment horizontal="center" vertical="center"/>
      <protection locked="0"/>
    </xf>
    <xf numFmtId="165" fontId="5" fillId="0" borderId="10" xfId="1" applyNumberFormat="1" applyFont="1" applyBorder="1" applyAlignment="1" applyProtection="1">
      <alignment horizontal="center" vertical="center"/>
      <protection locked="0"/>
    </xf>
    <xf numFmtId="165" fontId="5" fillId="0" borderId="8" xfId="1" applyNumberFormat="1" applyFont="1" applyBorder="1" applyAlignment="1" applyProtection="1">
      <alignment horizontal="center" vertical="center"/>
    </xf>
    <xf numFmtId="165" fontId="5" fillId="0" borderId="9" xfId="1" applyNumberFormat="1" applyFont="1" applyBorder="1" applyAlignment="1" applyProtection="1">
      <alignment horizontal="center" vertical="center"/>
    </xf>
    <xf numFmtId="165" fontId="5" fillId="0" borderId="10" xfId="1" applyNumberFormat="1" applyFont="1" applyBorder="1" applyAlignment="1" applyProtection="1">
      <alignment horizontal="center" vertical="center"/>
    </xf>
    <xf numFmtId="9" fontId="29" fillId="0" borderId="1" xfId="2" applyFont="1" applyBorder="1" applyAlignment="1" applyProtection="1">
      <alignment horizontal="right" vertical="center" readingOrder="1"/>
    </xf>
    <xf numFmtId="165" fontId="33" fillId="0" borderId="33" xfId="1" applyNumberFormat="1" applyFont="1" applyBorder="1" applyAlignment="1">
      <alignment horizontal="center" vertical="center" readingOrder="1"/>
    </xf>
    <xf numFmtId="165" fontId="33" fillId="0" borderId="0" xfId="1" applyNumberFormat="1" applyFont="1" applyAlignment="1">
      <alignment horizontal="center" vertical="center" readingOrder="1"/>
    </xf>
    <xf numFmtId="165" fontId="29" fillId="0" borderId="18" xfId="1" applyNumberFormat="1" applyFont="1" applyBorder="1" applyAlignment="1" applyProtection="1">
      <alignment horizontal="left" vertical="center" readingOrder="1"/>
    </xf>
    <xf numFmtId="165" fontId="29" fillId="0" borderId="18" xfId="1" applyNumberFormat="1" applyFont="1" applyBorder="1" applyAlignment="1">
      <alignment horizontal="left" vertical="center" readingOrder="1"/>
    </xf>
    <xf numFmtId="0" fontId="29" fillId="0" borderId="0" xfId="0" applyFont="1" applyAlignment="1">
      <alignment vertical="center"/>
    </xf>
    <xf numFmtId="9" fontId="29" fillId="0" borderId="0" xfId="2" applyFont="1" applyAlignment="1" applyProtection="1">
      <alignment vertical="center"/>
    </xf>
    <xf numFmtId="0" fontId="30" fillId="0" borderId="0" xfId="0" applyFont="1" applyAlignment="1">
      <alignment vertical="center"/>
    </xf>
    <xf numFmtId="0" fontId="32" fillId="0" borderId="0" xfId="0" applyFont="1" applyAlignment="1">
      <alignment vertical="center"/>
    </xf>
    <xf numFmtId="165" fontId="29" fillId="0" borderId="18" xfId="1" applyNumberFormat="1" applyFont="1" applyBorder="1" applyAlignment="1">
      <alignment vertical="center"/>
    </xf>
    <xf numFmtId="9" fontId="29" fillId="0" borderId="18" xfId="2" applyFont="1" applyBorder="1" applyAlignment="1" applyProtection="1">
      <alignment vertical="center"/>
    </xf>
    <xf numFmtId="165" fontId="30" fillId="0" borderId="18" xfId="4" applyNumberFormat="1" applyFont="1" applyBorder="1" applyAlignment="1" applyProtection="1">
      <alignment vertical="center"/>
    </xf>
    <xf numFmtId="165" fontId="32" fillId="0" borderId="19" xfId="4" applyNumberFormat="1" applyFont="1" applyBorder="1" applyAlignment="1" applyProtection="1">
      <alignment vertical="center"/>
    </xf>
    <xf numFmtId="9" fontId="29" fillId="0" borderId="1" xfId="2" applyFont="1" applyBorder="1" applyAlignment="1">
      <alignment horizontal="right" vertical="center"/>
    </xf>
    <xf numFmtId="9" fontId="29" fillId="8" borderId="1" xfId="2" applyFont="1" applyFill="1" applyBorder="1" applyAlignment="1">
      <alignment horizontal="right" vertical="center"/>
    </xf>
    <xf numFmtId="9" fontId="29" fillId="0" borderId="1" xfId="2" applyFont="1" applyBorder="1" applyAlignment="1" applyProtection="1">
      <alignment vertical="center"/>
    </xf>
    <xf numFmtId="165" fontId="30" fillId="0" borderId="1" xfId="4" applyNumberFormat="1" applyFont="1" applyBorder="1" applyAlignment="1" applyProtection="1">
      <alignment vertical="center"/>
    </xf>
    <xf numFmtId="165" fontId="32" fillId="0" borderId="21" xfId="4" applyNumberFormat="1" applyFont="1" applyBorder="1" applyAlignment="1" applyProtection="1">
      <alignment vertical="center"/>
    </xf>
    <xf numFmtId="43" fontId="29" fillId="0" borderId="23" xfId="1" applyFont="1" applyBorder="1" applyAlignment="1">
      <alignment vertical="center"/>
    </xf>
    <xf numFmtId="9" fontId="29" fillId="8" borderId="23" xfId="2" applyFont="1" applyFill="1" applyBorder="1" applyAlignment="1" applyProtection="1">
      <alignment vertical="center"/>
    </xf>
    <xf numFmtId="0" fontId="30" fillId="0" borderId="23" xfId="0" applyFont="1" applyBorder="1" applyAlignment="1">
      <alignment vertical="center"/>
    </xf>
    <xf numFmtId="0" fontId="32" fillId="0" borderId="24" xfId="0" applyFont="1" applyBorder="1" applyAlignment="1">
      <alignment vertical="center"/>
    </xf>
    <xf numFmtId="43" fontId="29" fillId="0" borderId="0" xfId="1" applyFont="1" applyAlignment="1">
      <alignment vertical="center"/>
    </xf>
    <xf numFmtId="43" fontId="29" fillId="0" borderId="18" xfId="1" applyFont="1" applyBorder="1" applyAlignment="1">
      <alignment vertical="center"/>
    </xf>
    <xf numFmtId="0" fontId="30" fillId="0" borderId="18" xfId="0" applyFont="1" applyBorder="1" applyAlignment="1">
      <alignment vertical="center"/>
    </xf>
    <xf numFmtId="0" fontId="32" fillId="0" borderId="19" xfId="0" applyFont="1" applyBorder="1" applyAlignment="1">
      <alignment vertical="center"/>
    </xf>
    <xf numFmtId="43" fontId="29" fillId="0" borderId="1" xfId="1" applyFont="1" applyBorder="1" applyAlignment="1">
      <alignment vertical="center"/>
    </xf>
    <xf numFmtId="0" fontId="30" fillId="0" borderId="1" xfId="0" applyFont="1" applyBorder="1" applyAlignment="1">
      <alignment vertical="center"/>
    </xf>
    <xf numFmtId="0" fontId="32" fillId="0" borderId="21" xfId="0" applyFont="1" applyBorder="1" applyAlignment="1">
      <alignment vertical="center"/>
    </xf>
    <xf numFmtId="165" fontId="29" fillId="0" borderId="23" xfId="1" applyNumberFormat="1" applyFont="1" applyBorder="1" applyAlignment="1">
      <alignment vertical="center"/>
    </xf>
    <xf numFmtId="9" fontId="29" fillId="0" borderId="23" xfId="2" applyFont="1" applyBorder="1" applyAlignment="1" applyProtection="1">
      <alignment vertical="center"/>
    </xf>
    <xf numFmtId="165" fontId="29" fillId="0" borderId="0" xfId="1" applyNumberFormat="1" applyFont="1" applyAlignment="1">
      <alignment vertical="center"/>
    </xf>
    <xf numFmtId="165" fontId="29" fillId="0" borderId="1" xfId="1" applyNumberFormat="1" applyFont="1" applyBorder="1" applyAlignment="1">
      <alignment vertical="center"/>
    </xf>
    <xf numFmtId="9" fontId="29" fillId="0" borderId="23" xfId="2" applyFont="1" applyBorder="1" applyAlignment="1">
      <alignment vertical="center"/>
    </xf>
    <xf numFmtId="9" fontId="29" fillId="8" borderId="18" xfId="2" applyFont="1" applyFill="1" applyBorder="1" applyAlignment="1" applyProtection="1">
      <alignment vertical="center"/>
    </xf>
    <xf numFmtId="9" fontId="29" fillId="8" borderId="23" xfId="2" applyFont="1" applyFill="1" applyBorder="1" applyAlignment="1">
      <alignment vertical="center"/>
    </xf>
    <xf numFmtId="166" fontId="29" fillId="0" borderId="1" xfId="1" applyNumberFormat="1" applyFont="1" applyBorder="1" applyAlignment="1">
      <alignment vertical="center"/>
    </xf>
    <xf numFmtId="165" fontId="5" fillId="0" borderId="70" xfId="1" applyNumberFormat="1" applyFont="1" applyBorder="1" applyAlignment="1" applyProtection="1">
      <alignment wrapText="1"/>
      <protection locked="0"/>
    </xf>
    <xf numFmtId="165" fontId="5" fillId="0" borderId="35" xfId="1" applyNumberFormat="1" applyFont="1" applyBorder="1" applyAlignment="1" applyProtection="1">
      <alignment wrapText="1"/>
      <protection locked="0"/>
    </xf>
    <xf numFmtId="165" fontId="13" fillId="5" borderId="6" xfId="1" applyNumberFormat="1" applyFont="1" applyFill="1" applyBorder="1" applyAlignment="1" applyProtection="1">
      <alignment wrapText="1"/>
    </xf>
    <xf numFmtId="165" fontId="5" fillId="0" borderId="30" xfId="1" applyNumberFormat="1" applyFont="1" applyBorder="1" applyAlignment="1" applyProtection="1">
      <alignment wrapText="1"/>
      <protection locked="0"/>
    </xf>
    <xf numFmtId="165" fontId="5" fillId="0" borderId="71" xfId="1" applyNumberFormat="1" applyFont="1" applyBorder="1" applyAlignment="1" applyProtection="1">
      <alignment wrapText="1"/>
      <protection locked="0"/>
    </xf>
    <xf numFmtId="43" fontId="46" fillId="0" borderId="28" xfId="1" applyFont="1" applyFill="1" applyBorder="1" applyAlignment="1" applyProtection="1">
      <alignment wrapText="1"/>
      <protection locked="0"/>
    </xf>
    <xf numFmtId="165" fontId="47" fillId="0" borderId="8" xfId="1" applyNumberFormat="1" applyFont="1" applyBorder="1" applyProtection="1">
      <protection locked="0"/>
    </xf>
    <xf numFmtId="165" fontId="47" fillId="0" borderId="9" xfId="1" applyNumberFormat="1" applyFont="1" applyBorder="1" applyProtection="1">
      <protection locked="0"/>
    </xf>
    <xf numFmtId="165" fontId="22" fillId="5" borderId="9" xfId="1" applyNumberFormat="1" applyFont="1" applyFill="1" applyBorder="1" applyProtection="1"/>
    <xf numFmtId="165" fontId="22" fillId="5" borderId="10" xfId="1" applyNumberFormat="1" applyFont="1" applyFill="1" applyBorder="1" applyProtection="1"/>
    <xf numFmtId="165" fontId="48" fillId="5" borderId="14" xfId="1" applyNumberFormat="1" applyFont="1" applyFill="1" applyBorder="1" applyProtection="1"/>
    <xf numFmtId="165" fontId="48" fillId="5" borderId="9" xfId="1" applyNumberFormat="1" applyFont="1" applyFill="1" applyBorder="1" applyProtection="1"/>
    <xf numFmtId="165" fontId="49" fillId="0" borderId="8" xfId="1" applyNumberFormat="1" applyFont="1" applyBorder="1" applyProtection="1">
      <protection locked="0"/>
    </xf>
    <xf numFmtId="165" fontId="49" fillId="0" borderId="9" xfId="1" applyNumberFormat="1" applyFont="1" applyBorder="1" applyProtection="1">
      <protection locked="0"/>
    </xf>
    <xf numFmtId="165" fontId="47" fillId="0" borderId="70" xfId="1" applyNumberFormat="1" applyFont="1" applyBorder="1" applyProtection="1">
      <protection locked="0"/>
    </xf>
    <xf numFmtId="165" fontId="47" fillId="0" borderId="35" xfId="1" applyNumberFormat="1" applyFont="1" applyBorder="1" applyProtection="1">
      <protection locked="0"/>
    </xf>
    <xf numFmtId="165" fontId="47" fillId="0" borderId="28" xfId="1" applyNumberFormat="1" applyFont="1" applyBorder="1" applyProtection="1">
      <protection locked="0"/>
    </xf>
    <xf numFmtId="165" fontId="47" fillId="0" borderId="38" xfId="1" applyNumberFormat="1" applyFont="1" applyBorder="1" applyProtection="1">
      <protection locked="0"/>
    </xf>
    <xf numFmtId="165" fontId="47" fillId="0" borderId="10" xfId="1" applyNumberFormat="1" applyFont="1" applyBorder="1" applyProtection="1">
      <protection locked="0"/>
    </xf>
    <xf numFmtId="165" fontId="47" fillId="0" borderId="30" xfId="1" applyNumberFormat="1" applyFont="1" applyBorder="1" applyProtection="1">
      <protection locked="0"/>
    </xf>
    <xf numFmtId="165" fontId="47" fillId="0" borderId="71" xfId="1" applyNumberFormat="1" applyFont="1" applyBorder="1" applyProtection="1">
      <protection locked="0"/>
    </xf>
    <xf numFmtId="0" fontId="43" fillId="0" borderId="28" xfId="0" applyFont="1" applyBorder="1" applyAlignment="1">
      <alignment vertical="center"/>
    </xf>
    <xf numFmtId="0" fontId="43" fillId="0" borderId="31" xfId="0" applyFont="1" applyBorder="1" applyAlignment="1">
      <alignment vertical="center"/>
    </xf>
    <xf numFmtId="167" fontId="4" fillId="0" borderId="22" xfId="0" applyNumberFormat="1" applyFont="1" applyBorder="1" applyProtection="1">
      <protection locked="0"/>
    </xf>
    <xf numFmtId="167" fontId="4" fillId="0" borderId="23" xfId="0" applyNumberFormat="1" applyFont="1" applyBorder="1" applyProtection="1">
      <protection locked="0"/>
    </xf>
    <xf numFmtId="167" fontId="4" fillId="0" borderId="20" xfId="0" applyNumberFormat="1" applyFont="1" applyBorder="1" applyProtection="1">
      <protection locked="0"/>
    </xf>
    <xf numFmtId="167" fontId="4" fillId="0" borderId="1" xfId="0" applyNumberFormat="1" applyFont="1" applyBorder="1" applyProtection="1">
      <protection locked="0"/>
    </xf>
    <xf numFmtId="2" fontId="13" fillId="5" borderId="2" xfId="0" applyNumberFormat="1" applyFont="1" applyFill="1" applyBorder="1" applyAlignment="1">
      <alignment horizontal="center" vertical="center"/>
    </xf>
    <xf numFmtId="0" fontId="4" fillId="0" borderId="47" xfId="0" applyFont="1" applyBorder="1" applyProtection="1">
      <protection locked="0"/>
    </xf>
    <xf numFmtId="0" fontId="4" fillId="0" borderId="4" xfId="0" applyFont="1" applyBorder="1" applyProtection="1">
      <protection locked="0"/>
    </xf>
    <xf numFmtId="165" fontId="4" fillId="0" borderId="17" xfId="1" applyNumberFormat="1" applyFont="1" applyBorder="1" applyProtection="1">
      <protection locked="0"/>
    </xf>
    <xf numFmtId="165" fontId="4" fillId="0" borderId="18" xfId="1" applyNumberFormat="1" applyFont="1" applyBorder="1" applyProtection="1">
      <protection locked="0"/>
    </xf>
    <xf numFmtId="165" fontId="4" fillId="0" borderId="19" xfId="1" applyNumberFormat="1" applyFont="1" applyBorder="1" applyProtection="1">
      <protection locked="0"/>
    </xf>
    <xf numFmtId="166" fontId="15" fillId="5" borderId="14" xfId="1" applyNumberFormat="1" applyFont="1" applyFill="1" applyBorder="1" applyProtection="1"/>
    <xf numFmtId="0" fontId="10" fillId="0" borderId="9" xfId="0" applyFont="1" applyBorder="1" applyAlignment="1" applyProtection="1">
      <alignment horizontal="center" vertical="center"/>
      <protection locked="0"/>
    </xf>
    <xf numFmtId="44" fontId="10" fillId="0" borderId="9" xfId="12" applyFont="1" applyBorder="1" applyAlignment="1" applyProtection="1">
      <alignment horizontal="center" vertical="center"/>
      <protection locked="0"/>
    </xf>
    <xf numFmtId="0" fontId="26" fillId="5" borderId="2" xfId="0" applyFont="1" applyFill="1" applyBorder="1" applyAlignment="1">
      <alignment horizontal="center"/>
    </xf>
    <xf numFmtId="44" fontId="26" fillId="5" borderId="2" xfId="12" applyFont="1" applyFill="1" applyBorder="1"/>
    <xf numFmtId="0" fontId="26" fillId="5" borderId="2" xfId="0" applyFont="1" applyFill="1" applyBorder="1" applyAlignment="1">
      <alignment horizontal="center" vertical="center"/>
    </xf>
    <xf numFmtId="0" fontId="4" fillId="0" borderId="17" xfId="0" applyFont="1" applyBorder="1" applyAlignment="1" applyProtection="1">
      <alignment horizontal="center" vertical="center"/>
      <protection locked="0"/>
    </xf>
    <xf numFmtId="0" fontId="4" fillId="0" borderId="18" xfId="0" applyFont="1" applyBorder="1" applyAlignment="1" applyProtection="1">
      <alignment horizontal="center" vertical="center" wrapText="1"/>
      <protection locked="0"/>
    </xf>
    <xf numFmtId="0" fontId="4" fillId="0" borderId="18" xfId="0" applyFont="1" applyBorder="1" applyAlignment="1" applyProtection="1">
      <alignment horizontal="center" vertical="center"/>
      <protection locked="0"/>
    </xf>
    <xf numFmtId="0" fontId="4" fillId="0" borderId="19" xfId="0" applyFont="1" applyBorder="1" applyAlignment="1" applyProtection="1">
      <alignment horizontal="center" vertical="center"/>
      <protection locked="0"/>
    </xf>
    <xf numFmtId="0" fontId="4" fillId="0" borderId="20" xfId="0" applyFont="1" applyBorder="1" applyAlignment="1" applyProtection="1">
      <alignment horizontal="center" vertical="center"/>
      <protection locked="0"/>
    </xf>
    <xf numFmtId="0" fontId="4" fillId="0" borderId="1" xfId="0" applyFont="1" applyBorder="1" applyAlignment="1" applyProtection="1">
      <alignment horizontal="center" vertical="center" wrapText="1"/>
      <protection locked="0"/>
    </xf>
    <xf numFmtId="0" fontId="4" fillId="0" borderId="1" xfId="0" applyFont="1" applyBorder="1" applyAlignment="1" applyProtection="1">
      <alignment horizontal="center" vertical="center"/>
      <protection locked="0"/>
    </xf>
    <xf numFmtId="0" fontId="4" fillId="0" borderId="21" xfId="0" applyFont="1" applyBorder="1" applyAlignment="1" applyProtection="1">
      <alignment horizontal="center" vertical="center"/>
      <protection locked="0"/>
    </xf>
    <xf numFmtId="0" fontId="4" fillId="0" borderId="22" xfId="0" applyFont="1" applyBorder="1" applyAlignment="1" applyProtection="1">
      <alignment horizontal="center" vertical="center"/>
      <protection locked="0"/>
    </xf>
    <xf numFmtId="0" fontId="4" fillId="0" borderId="23" xfId="0" applyFont="1" applyBorder="1" applyAlignment="1" applyProtection="1">
      <alignment horizontal="center" vertical="center" wrapText="1"/>
      <protection locked="0"/>
    </xf>
    <xf numFmtId="0" fontId="4" fillId="0" borderId="23" xfId="0" applyFont="1" applyBorder="1" applyAlignment="1" applyProtection="1">
      <alignment horizontal="center" vertical="center"/>
      <protection locked="0"/>
    </xf>
    <xf numFmtId="0" fontId="4" fillId="0" borderId="24" xfId="0" applyFont="1" applyBorder="1" applyAlignment="1" applyProtection="1">
      <alignment horizontal="center" vertical="center"/>
      <protection locked="0"/>
    </xf>
    <xf numFmtId="43" fontId="5" fillId="0" borderId="0" xfId="0" applyNumberFormat="1" applyFont="1" applyAlignment="1">
      <alignment horizontal="center" vertical="center"/>
    </xf>
    <xf numFmtId="9" fontId="10" fillId="0" borderId="0" xfId="2" applyFont="1"/>
    <xf numFmtId="9" fontId="5" fillId="0" borderId="0" xfId="2" applyFont="1" applyAlignment="1" applyProtection="1">
      <alignment wrapText="1"/>
    </xf>
    <xf numFmtId="9" fontId="29" fillId="12" borderId="1" xfId="2" applyFont="1" applyFill="1" applyBorder="1" applyAlignment="1" applyProtection="1">
      <alignment horizontal="right" vertical="center" readingOrder="1"/>
    </xf>
    <xf numFmtId="165" fontId="29" fillId="12" borderId="18" xfId="1" applyNumberFormat="1" applyFont="1" applyFill="1" applyBorder="1" applyAlignment="1">
      <alignment vertical="center"/>
    </xf>
    <xf numFmtId="165" fontId="29" fillId="12" borderId="1" xfId="1" applyNumberFormat="1" applyFont="1" applyFill="1" applyBorder="1" applyAlignment="1">
      <alignment vertical="center"/>
    </xf>
    <xf numFmtId="9" fontId="29" fillId="12" borderId="23" xfId="2" applyFont="1" applyFill="1" applyBorder="1" applyAlignment="1">
      <alignment vertical="center"/>
    </xf>
    <xf numFmtId="43" fontId="29" fillId="0" borderId="23" xfId="1" applyFont="1" applyFill="1" applyBorder="1" applyAlignment="1">
      <alignment vertical="center"/>
    </xf>
    <xf numFmtId="43" fontId="5" fillId="0" borderId="14" xfId="1" applyFont="1" applyBorder="1" applyAlignment="1" applyProtection="1">
      <alignment wrapText="1"/>
    </xf>
    <xf numFmtId="0" fontId="4" fillId="0" borderId="72" xfId="0" applyFont="1" applyBorder="1" applyAlignment="1" applyProtection="1">
      <alignment horizontal="center" vertical="center"/>
      <protection locked="0"/>
    </xf>
    <xf numFmtId="0" fontId="51" fillId="5" borderId="2" xfId="0" applyFont="1" applyFill="1" applyBorder="1" applyAlignment="1">
      <alignment horizontal="center" vertical="center" wrapText="1"/>
    </xf>
    <xf numFmtId="43" fontId="10" fillId="0" borderId="0" xfId="0" applyNumberFormat="1" applyFont="1"/>
    <xf numFmtId="43" fontId="29" fillId="12" borderId="23" xfId="1" applyFont="1" applyFill="1" applyBorder="1" applyAlignment="1">
      <alignment vertical="center"/>
    </xf>
    <xf numFmtId="43" fontId="29" fillId="12" borderId="18" xfId="1" applyFont="1" applyFill="1" applyBorder="1" applyAlignment="1">
      <alignment vertical="center"/>
    </xf>
    <xf numFmtId="43" fontId="29" fillId="12" borderId="1" xfId="1" applyFont="1" applyFill="1" applyBorder="1" applyAlignment="1">
      <alignment vertical="center"/>
    </xf>
    <xf numFmtId="166" fontId="29" fillId="12" borderId="1" xfId="1" applyNumberFormat="1" applyFont="1" applyFill="1" applyBorder="1" applyAlignment="1">
      <alignment vertical="center"/>
    </xf>
    <xf numFmtId="165" fontId="29" fillId="12" borderId="23" xfId="1" applyNumberFormat="1" applyFont="1" applyFill="1" applyBorder="1" applyAlignment="1">
      <alignment vertical="center"/>
    </xf>
    <xf numFmtId="9" fontId="29" fillId="12" borderId="23" xfId="2" applyFont="1" applyFill="1" applyBorder="1" applyAlignment="1" applyProtection="1">
      <alignment vertical="center"/>
    </xf>
    <xf numFmtId="165" fontId="5" fillId="5" borderId="8" xfId="1" applyNumberFormat="1" applyFont="1" applyFill="1" applyBorder="1" applyAlignment="1" applyProtection="1">
      <alignment horizontal="center" vertical="center" wrapText="1"/>
    </xf>
    <xf numFmtId="165" fontId="5" fillId="5" borderId="9" xfId="1" applyNumberFormat="1" applyFont="1" applyFill="1" applyBorder="1" applyAlignment="1" applyProtection="1">
      <alignment horizontal="center" vertical="center" wrapText="1"/>
    </xf>
    <xf numFmtId="165" fontId="5" fillId="0" borderId="1" xfId="1" applyNumberFormat="1" applyFont="1" applyBorder="1" applyAlignment="1" applyProtection="1">
      <alignment horizontal="center" vertical="center" wrapText="1"/>
      <protection locked="0"/>
    </xf>
    <xf numFmtId="165" fontId="5" fillId="0" borderId="35" xfId="1" applyNumberFormat="1" applyFont="1" applyBorder="1" applyAlignment="1" applyProtection="1">
      <alignment horizontal="center" vertical="center" wrapText="1"/>
      <protection locked="0"/>
    </xf>
    <xf numFmtId="165" fontId="5" fillId="0" borderId="38" xfId="1" applyNumberFormat="1" applyFont="1" applyBorder="1" applyAlignment="1" applyProtection="1">
      <alignment horizontal="center" vertical="center" wrapText="1"/>
      <protection locked="0"/>
    </xf>
    <xf numFmtId="165" fontId="5" fillId="0" borderId="13" xfId="1" applyNumberFormat="1" applyFont="1" applyBorder="1" applyAlignment="1" applyProtection="1">
      <alignment horizontal="center" vertical="center" wrapText="1"/>
      <protection locked="0"/>
    </xf>
    <xf numFmtId="165" fontId="5" fillId="0" borderId="71" xfId="1" applyNumberFormat="1" applyFont="1" applyBorder="1" applyAlignment="1" applyProtection="1">
      <alignment horizontal="center" vertical="center" wrapText="1"/>
      <protection locked="0"/>
    </xf>
    <xf numFmtId="165" fontId="5" fillId="0" borderId="13" xfId="1" applyNumberFormat="1" applyFont="1" applyBorder="1" applyAlignment="1" applyProtection="1">
      <alignment wrapText="1"/>
      <protection locked="0"/>
    </xf>
    <xf numFmtId="165" fontId="5" fillId="0" borderId="38" xfId="1" applyNumberFormat="1" applyFont="1" applyFill="1" applyBorder="1" applyAlignment="1" applyProtection="1">
      <alignment wrapText="1"/>
      <protection locked="0"/>
    </xf>
    <xf numFmtId="165" fontId="0" fillId="0" borderId="0" xfId="1" applyNumberFormat="1" applyFont="1"/>
    <xf numFmtId="43" fontId="29" fillId="0" borderId="0" xfId="0" applyNumberFormat="1" applyFont="1" applyAlignment="1">
      <alignment vertical="center"/>
    </xf>
    <xf numFmtId="0" fontId="6" fillId="0" borderId="31" xfId="0" applyFont="1" applyBorder="1" applyAlignment="1">
      <alignment horizontal="right" vertical="center"/>
    </xf>
    <xf numFmtId="0" fontId="6" fillId="0" borderId="28" xfId="0" applyFont="1" applyBorder="1" applyAlignment="1">
      <alignment horizontal="right" vertical="center"/>
    </xf>
    <xf numFmtId="0" fontId="6" fillId="0" borderId="70" xfId="0" applyFont="1" applyBorder="1" applyAlignment="1">
      <alignment vertical="center"/>
    </xf>
    <xf numFmtId="0" fontId="10" fillId="0" borderId="9" xfId="0" applyFont="1" applyBorder="1" applyAlignment="1" applyProtection="1">
      <alignment horizontal="center"/>
      <protection locked="0"/>
    </xf>
    <xf numFmtId="2" fontId="26" fillId="5" borderId="2" xfId="0" applyNumberFormat="1" applyFont="1" applyFill="1" applyBorder="1"/>
    <xf numFmtId="0" fontId="53" fillId="0" borderId="1" xfId="0" applyFont="1" applyBorder="1"/>
    <xf numFmtId="165" fontId="40" fillId="12" borderId="9" xfId="1" applyNumberFormat="1" applyFont="1" applyFill="1" applyBorder="1" applyAlignment="1" applyProtection="1">
      <alignment horizontal="center" vertical="center"/>
      <protection locked="0"/>
    </xf>
    <xf numFmtId="165" fontId="29" fillId="0" borderId="1" xfId="2" applyNumberFormat="1" applyFont="1" applyBorder="1" applyAlignment="1" applyProtection="1">
      <alignment vertical="center"/>
    </xf>
    <xf numFmtId="165" fontId="29" fillId="0" borderId="18" xfId="2" applyNumberFormat="1" applyFont="1" applyBorder="1" applyAlignment="1" applyProtection="1">
      <alignment vertical="center"/>
    </xf>
    <xf numFmtId="0" fontId="54" fillId="0" borderId="0" xfId="0" applyFont="1"/>
    <xf numFmtId="0" fontId="55" fillId="0" borderId="0" xfId="0" applyFont="1" applyAlignment="1">
      <alignment horizontal="center" vertical="center"/>
    </xf>
    <xf numFmtId="0" fontId="0" fillId="14" borderId="8" xfId="0" applyFill="1" applyBorder="1" applyAlignment="1">
      <alignment horizontal="center" vertical="center"/>
    </xf>
    <xf numFmtId="0" fontId="0" fillId="14" borderId="32" xfId="0" applyFill="1" applyBorder="1" applyAlignment="1">
      <alignment horizontal="center" vertical="center"/>
    </xf>
    <xf numFmtId="0" fontId="0" fillId="14" borderId="33" xfId="0" applyFill="1" applyBorder="1" applyAlignment="1">
      <alignment horizontal="center" vertical="center"/>
    </xf>
    <xf numFmtId="0" fontId="0" fillId="14" borderId="34" xfId="0" applyFill="1" applyBorder="1" applyAlignment="1">
      <alignment horizontal="center" vertical="center"/>
    </xf>
    <xf numFmtId="0" fontId="0" fillId="14" borderId="2" xfId="0" applyFill="1" applyBorder="1" applyAlignment="1">
      <alignment horizontal="center" vertical="center"/>
    </xf>
    <xf numFmtId="0" fontId="0" fillId="0" borderId="9" xfId="0" applyBorder="1" applyAlignment="1">
      <alignment horizontal="center" vertical="center"/>
    </xf>
    <xf numFmtId="165" fontId="59" fillId="0" borderId="17" xfId="1" applyNumberFormat="1" applyFont="1" applyBorder="1" applyAlignment="1">
      <alignment horizontal="center" vertical="center"/>
    </xf>
    <xf numFmtId="0" fontId="0" fillId="0" borderId="18" xfId="0" applyBorder="1" applyAlignment="1">
      <alignment horizontal="center" vertical="center"/>
    </xf>
    <xf numFmtId="165" fontId="0" fillId="0" borderId="19" xfId="1" applyNumberFormat="1" applyFont="1" applyBorder="1" applyAlignment="1">
      <alignment horizontal="center" vertical="center"/>
    </xf>
    <xf numFmtId="1" fontId="0" fillId="0" borderId="8" xfId="0" applyNumberFormat="1" applyBorder="1" applyAlignment="1">
      <alignment horizontal="center" vertical="center"/>
    </xf>
    <xf numFmtId="165" fontId="59" fillId="0" borderId="20" xfId="1" applyNumberFormat="1" applyFont="1" applyBorder="1" applyAlignment="1">
      <alignment horizontal="center" vertical="center"/>
    </xf>
    <xf numFmtId="0" fontId="0" fillId="0" borderId="72" xfId="0" applyBorder="1" applyAlignment="1">
      <alignment horizontal="center" vertical="center"/>
    </xf>
    <xf numFmtId="165" fontId="0" fillId="0" borderId="21" xfId="1" applyNumberFormat="1" applyFont="1" applyBorder="1" applyAlignment="1">
      <alignment horizontal="center" vertical="center"/>
    </xf>
    <xf numFmtId="1" fontId="0" fillId="0" borderId="9" xfId="0" applyNumberFormat="1" applyBorder="1" applyAlignment="1">
      <alignment horizontal="center" vertical="center"/>
    </xf>
    <xf numFmtId="1" fontId="0" fillId="0" borderId="0" xfId="0" applyNumberFormat="1"/>
    <xf numFmtId="0" fontId="0" fillId="0" borderId="10" xfId="0" applyBorder="1" applyAlignment="1">
      <alignment horizontal="center" vertical="center"/>
    </xf>
    <xf numFmtId="165" fontId="59" fillId="0" borderId="22" xfId="1" applyNumberFormat="1" applyFont="1" applyBorder="1" applyAlignment="1">
      <alignment horizontal="center" vertical="center"/>
    </xf>
    <xf numFmtId="0" fontId="0" fillId="0" borderId="56" xfId="0" applyBorder="1" applyAlignment="1">
      <alignment horizontal="center" vertical="center"/>
    </xf>
    <xf numFmtId="165" fontId="0" fillId="0" borderId="24" xfId="1" applyNumberFormat="1" applyFont="1" applyBorder="1" applyAlignment="1">
      <alignment horizontal="center" vertical="center"/>
    </xf>
    <xf numFmtId="1" fontId="0" fillId="0" borderId="10" xfId="0" applyNumberFormat="1" applyBorder="1" applyAlignment="1">
      <alignment horizontal="center" vertical="center"/>
    </xf>
    <xf numFmtId="0" fontId="0" fillId="0" borderId="0" xfId="0" applyAlignment="1">
      <alignment horizontal="center"/>
    </xf>
    <xf numFmtId="0" fontId="0" fillId="15" borderId="31" xfId="0" applyFill="1" applyBorder="1" applyAlignment="1">
      <alignment horizontal="center" vertical="center"/>
    </xf>
    <xf numFmtId="4" fontId="0" fillId="15" borderId="32" xfId="0" applyNumberFormat="1" applyFill="1" applyBorder="1" applyAlignment="1">
      <alignment horizontal="center" vertical="center" wrapText="1"/>
    </xf>
    <xf numFmtId="0" fontId="0" fillId="15" borderId="33" xfId="0" applyFill="1" applyBorder="1" applyAlignment="1">
      <alignment horizontal="center" vertical="center" wrapText="1"/>
    </xf>
    <xf numFmtId="0" fontId="0" fillId="15" borderId="34" xfId="0" applyFill="1" applyBorder="1" applyAlignment="1">
      <alignment horizontal="center" vertical="center" wrapText="1"/>
    </xf>
    <xf numFmtId="4" fontId="0" fillId="15" borderId="2" xfId="0" applyNumberFormat="1" applyFill="1" applyBorder="1" applyAlignment="1">
      <alignment horizontal="center" vertical="center"/>
    </xf>
    <xf numFmtId="0" fontId="0" fillId="15" borderId="35" xfId="0" applyFill="1" applyBorder="1" applyAlignment="1">
      <alignment horizontal="center" vertical="center"/>
    </xf>
    <xf numFmtId="0" fontId="0" fillId="0" borderId="36" xfId="0" applyBorder="1" applyAlignment="1">
      <alignment horizontal="center" vertical="center"/>
    </xf>
    <xf numFmtId="168" fontId="59" fillId="0" borderId="17" xfId="0" applyNumberFormat="1" applyFont="1" applyBorder="1" applyAlignment="1">
      <alignment horizontal="center"/>
    </xf>
    <xf numFmtId="0" fontId="0" fillId="0" borderId="18" xfId="0" applyBorder="1" applyAlignment="1">
      <alignment horizontal="center"/>
    </xf>
    <xf numFmtId="0" fontId="59" fillId="0" borderId="18" xfId="0" applyFont="1" applyBorder="1" applyAlignment="1">
      <alignment horizontal="center"/>
    </xf>
    <xf numFmtId="0" fontId="0" fillId="0" borderId="25" xfId="0" applyBorder="1" applyAlignment="1">
      <alignment horizontal="center"/>
    </xf>
    <xf numFmtId="0" fontId="0" fillId="0" borderId="19" xfId="0" applyBorder="1" applyAlignment="1">
      <alignment horizontal="center"/>
    </xf>
    <xf numFmtId="0" fontId="0" fillId="0" borderId="8" xfId="0" applyBorder="1" applyAlignment="1">
      <alignment horizontal="center"/>
    </xf>
    <xf numFmtId="165" fontId="0" fillId="0" borderId="38" xfId="1" applyNumberFormat="1" applyFont="1" applyBorder="1" applyAlignment="1">
      <alignment horizontal="center"/>
    </xf>
    <xf numFmtId="0" fontId="0" fillId="0" borderId="28" xfId="0" applyBorder="1" applyAlignment="1">
      <alignment horizontal="center" vertical="center"/>
    </xf>
    <xf numFmtId="168" fontId="59" fillId="0" borderId="20" xfId="0" applyNumberFormat="1" applyFont="1" applyBorder="1" applyAlignment="1">
      <alignment horizontal="center"/>
    </xf>
    <xf numFmtId="0" fontId="0" fillId="0" borderId="72" xfId="0" applyBorder="1" applyAlignment="1">
      <alignment horizontal="center"/>
    </xf>
    <xf numFmtId="0" fontId="59" fillId="0" borderId="1" xfId="0" applyFont="1" applyBorder="1" applyAlignment="1">
      <alignment horizontal="center"/>
    </xf>
    <xf numFmtId="0" fontId="0" fillId="0" borderId="74" xfId="0" applyBorder="1" applyAlignment="1">
      <alignment horizontal="center"/>
    </xf>
    <xf numFmtId="0" fontId="0" fillId="0" borderId="64" xfId="0" applyBorder="1" applyAlignment="1">
      <alignment horizontal="center"/>
    </xf>
    <xf numFmtId="0" fontId="0" fillId="0" borderId="14" xfId="0" applyBorder="1" applyAlignment="1">
      <alignment horizontal="center"/>
    </xf>
    <xf numFmtId="0" fontId="60" fillId="0" borderId="0" xfId="0" applyFont="1"/>
    <xf numFmtId="0" fontId="0" fillId="0" borderId="30" xfId="0" applyBorder="1" applyAlignment="1">
      <alignment horizontal="center" vertical="center"/>
    </xf>
    <xf numFmtId="168" fontId="59" fillId="0" borderId="22" xfId="0" applyNumberFormat="1" applyFont="1" applyBorder="1" applyAlignment="1">
      <alignment horizontal="center"/>
    </xf>
    <xf numFmtId="0" fontId="0" fillId="0" borderId="56" xfId="0" applyBorder="1" applyAlignment="1">
      <alignment horizontal="center"/>
    </xf>
    <xf numFmtId="0" fontId="59" fillId="0" borderId="23" xfId="0" applyFont="1" applyBorder="1" applyAlignment="1">
      <alignment horizontal="center"/>
    </xf>
    <xf numFmtId="0" fontId="0" fillId="0" borderId="69" xfId="0" applyBorder="1" applyAlignment="1">
      <alignment horizontal="center"/>
    </xf>
    <xf numFmtId="0" fontId="0" fillId="0" borderId="57" xfId="0" applyBorder="1" applyAlignment="1">
      <alignment horizontal="center"/>
    </xf>
    <xf numFmtId="0" fontId="0" fillId="0" borderId="7" xfId="0" applyBorder="1" applyAlignment="1">
      <alignment horizontal="center"/>
    </xf>
    <xf numFmtId="165" fontId="0" fillId="0" borderId="71" xfId="1" applyNumberFormat="1" applyFont="1" applyBorder="1" applyAlignment="1">
      <alignment horizontal="center"/>
    </xf>
    <xf numFmtId="0" fontId="0" fillId="11" borderId="8" xfId="0" applyFill="1" applyBorder="1" applyAlignment="1">
      <alignment horizontal="center" vertical="center"/>
    </xf>
    <xf numFmtId="0" fontId="0" fillId="11" borderId="75" xfId="0" applyFill="1" applyBorder="1" applyAlignment="1">
      <alignment horizontal="center" vertical="center" wrapText="1"/>
    </xf>
    <xf numFmtId="0" fontId="0" fillId="11" borderId="76" xfId="0" applyFill="1" applyBorder="1" applyAlignment="1">
      <alignment horizontal="center" vertical="center" wrapText="1"/>
    </xf>
    <xf numFmtId="0" fontId="0" fillId="11" borderId="77" xfId="0" applyFill="1" applyBorder="1" applyAlignment="1">
      <alignment horizontal="center" vertical="center" wrapText="1"/>
    </xf>
    <xf numFmtId="0" fontId="0" fillId="11" borderId="2" xfId="0" applyFill="1" applyBorder="1" applyAlignment="1">
      <alignment horizontal="center" vertical="center" wrapText="1"/>
    </xf>
    <xf numFmtId="0" fontId="0" fillId="2" borderId="9" xfId="0" applyFill="1" applyBorder="1" applyAlignment="1">
      <alignment horizontal="center"/>
    </xf>
    <xf numFmtId="2" fontId="59" fillId="2" borderId="17" xfId="0" applyNumberFormat="1" applyFont="1" applyFill="1" applyBorder="1" applyAlignment="1">
      <alignment horizontal="center"/>
    </xf>
    <xf numFmtId="0" fontId="59" fillId="2" borderId="18" xfId="0" applyFont="1" applyFill="1" applyBorder="1" applyAlignment="1">
      <alignment horizontal="center"/>
    </xf>
    <xf numFmtId="0" fontId="0" fillId="2" borderId="18" xfId="0" applyFill="1" applyBorder="1" applyAlignment="1">
      <alignment horizontal="center"/>
    </xf>
    <xf numFmtId="0" fontId="0" fillId="2" borderId="19" xfId="0" applyFill="1" applyBorder="1" applyAlignment="1">
      <alignment horizontal="center"/>
    </xf>
    <xf numFmtId="0" fontId="0" fillId="2" borderId="8" xfId="0" applyFill="1" applyBorder="1"/>
    <xf numFmtId="2" fontId="59" fillId="2" borderId="20" xfId="0" applyNumberFormat="1" applyFont="1" applyFill="1" applyBorder="1" applyAlignment="1">
      <alignment horizontal="center"/>
    </xf>
    <xf numFmtId="0" fontId="59" fillId="2" borderId="1" xfId="0" applyFont="1" applyFill="1" applyBorder="1" applyAlignment="1">
      <alignment horizontal="center"/>
    </xf>
    <xf numFmtId="0" fontId="0" fillId="2" borderId="1" xfId="0" applyFill="1" applyBorder="1" applyAlignment="1">
      <alignment horizontal="center"/>
    </xf>
    <xf numFmtId="0" fontId="0" fillId="2" borderId="21" xfId="0" applyFill="1" applyBorder="1" applyAlignment="1">
      <alignment horizontal="center"/>
    </xf>
    <xf numFmtId="0" fontId="0" fillId="2" borderId="9" xfId="0" applyFill="1" applyBorder="1"/>
    <xf numFmtId="0" fontId="0" fillId="2" borderId="0" xfId="0" applyFill="1" applyAlignment="1">
      <alignment horizontal="center"/>
    </xf>
    <xf numFmtId="0" fontId="0" fillId="2" borderId="10" xfId="0" applyFill="1" applyBorder="1" applyAlignment="1">
      <alignment horizontal="center"/>
    </xf>
    <xf numFmtId="0" fontId="59" fillId="2" borderId="22" xfId="0" applyFont="1" applyFill="1" applyBorder="1" applyAlignment="1">
      <alignment horizontal="center"/>
    </xf>
    <xf numFmtId="0" fontId="59" fillId="2" borderId="23" xfId="0" applyFont="1" applyFill="1" applyBorder="1" applyAlignment="1">
      <alignment horizontal="center"/>
    </xf>
    <xf numFmtId="0" fontId="0" fillId="2" borderId="23" xfId="0" applyFill="1" applyBorder="1" applyAlignment="1">
      <alignment horizontal="center"/>
    </xf>
    <xf numFmtId="0" fontId="0" fillId="2" borderId="24" xfId="0" applyFill="1" applyBorder="1" applyAlignment="1">
      <alignment horizontal="center"/>
    </xf>
    <xf numFmtId="0" fontId="0" fillId="2" borderId="10" xfId="0" applyFill="1" applyBorder="1"/>
    <xf numFmtId="2" fontId="0" fillId="2" borderId="18" xfId="0" applyNumberFormat="1" applyFill="1" applyBorder="1" applyAlignment="1">
      <alignment horizontal="center"/>
    </xf>
    <xf numFmtId="2" fontId="0" fillId="2" borderId="1" xfId="0" applyNumberFormat="1" applyFill="1" applyBorder="1" applyAlignment="1">
      <alignment horizontal="center"/>
    </xf>
    <xf numFmtId="1" fontId="59" fillId="2" borderId="20" xfId="0" applyNumberFormat="1" applyFont="1" applyFill="1" applyBorder="1" applyAlignment="1">
      <alignment horizontal="center"/>
    </xf>
    <xf numFmtId="0" fontId="59" fillId="2" borderId="20" xfId="0" applyFont="1" applyFill="1" applyBorder="1" applyAlignment="1">
      <alignment horizontal="center"/>
    </xf>
    <xf numFmtId="2" fontId="0" fillId="2" borderId="23" xfId="0" applyNumberFormat="1" applyFill="1" applyBorder="1" applyAlignment="1">
      <alignment horizontal="center"/>
    </xf>
    <xf numFmtId="0" fontId="0" fillId="16" borderId="6" xfId="0" applyFill="1" applyBorder="1" applyAlignment="1">
      <alignment horizontal="center" vertical="center" wrapText="1"/>
    </xf>
    <xf numFmtId="0" fontId="54" fillId="16" borderId="6" xfId="0" applyFont="1" applyFill="1" applyBorder="1" applyAlignment="1">
      <alignment horizontal="center" vertical="center" wrapText="1"/>
    </xf>
    <xf numFmtId="0" fontId="0" fillId="0" borderId="9" xfId="0" applyBorder="1" applyAlignment="1">
      <alignment horizontal="center"/>
    </xf>
    <xf numFmtId="165" fontId="0" fillId="0" borderId="9" xfId="1" applyNumberFormat="1" applyFont="1" applyBorder="1"/>
    <xf numFmtId="1" fontId="0" fillId="0" borderId="9" xfId="0" applyNumberFormat="1" applyBorder="1"/>
    <xf numFmtId="167" fontId="0" fillId="0" borderId="0" xfId="0" applyNumberFormat="1"/>
    <xf numFmtId="0" fontId="0" fillId="0" borderId="10" xfId="0" applyBorder="1" applyAlignment="1">
      <alignment horizontal="center"/>
    </xf>
    <xf numFmtId="165" fontId="0" fillId="0" borderId="10" xfId="1" applyNumberFormat="1" applyFont="1" applyBorder="1"/>
    <xf numFmtId="1" fontId="0" fillId="0" borderId="10" xfId="0" applyNumberFormat="1" applyBorder="1"/>
    <xf numFmtId="0" fontId="54" fillId="15" borderId="4" xfId="0" applyFont="1" applyFill="1" applyBorder="1" applyAlignment="1">
      <alignment horizontal="center" vertical="center"/>
    </xf>
    <xf numFmtId="0" fontId="54" fillId="15" borderId="4" xfId="0" applyFont="1" applyFill="1" applyBorder="1" applyAlignment="1">
      <alignment horizontal="center" vertical="center" wrapText="1"/>
    </xf>
    <xf numFmtId="0" fontId="54" fillId="15" borderId="51" xfId="0" applyFont="1" applyFill="1" applyBorder="1" applyAlignment="1">
      <alignment horizontal="center" vertical="center" wrapText="1"/>
    </xf>
    <xf numFmtId="0" fontId="54" fillId="15" borderId="2" xfId="0" applyFont="1" applyFill="1" applyBorder="1" applyAlignment="1">
      <alignment horizontal="center" vertical="center" wrapText="1"/>
    </xf>
    <xf numFmtId="165" fontId="59" fillId="0" borderId="49" xfId="1" applyNumberFormat="1" applyFont="1" applyBorder="1" applyAlignment="1">
      <alignment horizontal="center" vertical="center"/>
    </xf>
    <xf numFmtId="165" fontId="59" fillId="0" borderId="18" xfId="1" applyNumberFormat="1" applyFont="1" applyBorder="1" applyAlignment="1">
      <alignment horizontal="center" vertical="center"/>
    </xf>
    <xf numFmtId="165" fontId="0" fillId="0" borderId="18" xfId="1" applyNumberFormat="1" applyFont="1" applyBorder="1" applyAlignment="1">
      <alignment horizontal="center"/>
    </xf>
    <xf numFmtId="169" fontId="54" fillId="0" borderId="14" xfId="0" applyNumberFormat="1" applyFont="1" applyBorder="1" applyAlignment="1">
      <alignment horizontal="center"/>
    </xf>
    <xf numFmtId="165" fontId="54" fillId="0" borderId="8" xfId="1" applyNumberFormat="1" applyFont="1" applyBorder="1" applyAlignment="1">
      <alignment horizontal="center"/>
    </xf>
    <xf numFmtId="165" fontId="59" fillId="0" borderId="13" xfId="1" applyNumberFormat="1" applyFont="1" applyBorder="1" applyAlignment="1">
      <alignment horizontal="center" vertical="center"/>
    </xf>
    <xf numFmtId="165" fontId="59" fillId="0" borderId="1" xfId="1" applyNumberFormat="1" applyFont="1" applyBorder="1" applyAlignment="1">
      <alignment horizontal="center" vertical="center"/>
    </xf>
    <xf numFmtId="165" fontId="0" fillId="0" borderId="1" xfId="1" applyNumberFormat="1" applyFont="1" applyBorder="1" applyAlignment="1">
      <alignment horizontal="center"/>
    </xf>
    <xf numFmtId="0" fontId="0" fillId="0" borderId="21" xfId="0" applyBorder="1" applyAlignment="1">
      <alignment horizontal="center"/>
    </xf>
    <xf numFmtId="169" fontId="54" fillId="0" borderId="9" xfId="0" applyNumberFormat="1" applyFont="1" applyBorder="1" applyAlignment="1">
      <alignment horizontal="center"/>
    </xf>
    <xf numFmtId="165" fontId="54" fillId="0" borderId="14" xfId="1" applyNumberFormat="1" applyFont="1" applyBorder="1" applyAlignment="1">
      <alignment horizontal="center"/>
    </xf>
    <xf numFmtId="3" fontId="0" fillId="0" borderId="0" xfId="0" applyNumberFormat="1"/>
    <xf numFmtId="165" fontId="0" fillId="0" borderId="0" xfId="0" applyNumberFormat="1"/>
    <xf numFmtId="9" fontId="0" fillId="0" borderId="0" xfId="2" applyFont="1"/>
    <xf numFmtId="165" fontId="59" fillId="0" borderId="79" xfId="1" applyNumberFormat="1" applyFont="1" applyBorder="1" applyAlignment="1">
      <alignment horizontal="center"/>
    </xf>
    <xf numFmtId="165" fontId="59" fillId="0" borderId="23" xfId="1" applyNumberFormat="1" applyFont="1" applyBorder="1" applyAlignment="1">
      <alignment horizontal="center"/>
    </xf>
    <xf numFmtId="165" fontId="0" fillId="0" borderId="23" xfId="1" applyNumberFormat="1" applyFont="1" applyBorder="1" applyAlignment="1">
      <alignment horizontal="center"/>
    </xf>
    <xf numFmtId="0" fontId="0" fillId="0" borderId="24" xfId="0" applyBorder="1" applyAlignment="1">
      <alignment horizontal="center"/>
    </xf>
    <xf numFmtId="169" fontId="54" fillId="0" borderId="10" xfId="0" applyNumberFormat="1" applyFont="1" applyBorder="1" applyAlignment="1">
      <alignment horizontal="center"/>
    </xf>
    <xf numFmtId="165" fontId="54" fillId="0" borderId="7" xfId="1" applyNumberFormat="1" applyFont="1" applyBorder="1" applyAlignment="1">
      <alignment horizontal="center"/>
    </xf>
    <xf numFmtId="0" fontId="0" fillId="17" borderId="2" xfId="0" applyFill="1" applyBorder="1" applyAlignment="1">
      <alignment horizontal="center" vertical="center"/>
    </xf>
    <xf numFmtId="0" fontId="0" fillId="17" borderId="75" xfId="0" applyFill="1" applyBorder="1" applyAlignment="1">
      <alignment horizontal="center" vertical="center" wrapText="1"/>
    </xf>
    <xf numFmtId="0" fontId="0" fillId="17" borderId="76" xfId="0" applyFill="1" applyBorder="1" applyAlignment="1">
      <alignment horizontal="center" vertical="center" wrapText="1"/>
    </xf>
    <xf numFmtId="0" fontId="0" fillId="17" borderId="80" xfId="0" applyFill="1" applyBorder="1" applyAlignment="1">
      <alignment horizontal="center" vertical="center" wrapText="1"/>
    </xf>
    <xf numFmtId="0" fontId="54" fillId="17" borderId="2" xfId="0" applyFont="1" applyFill="1" applyBorder="1" applyAlignment="1">
      <alignment horizontal="center" vertical="center" wrapText="1"/>
    </xf>
    <xf numFmtId="0" fontId="54" fillId="18" borderId="1" xfId="0" applyFont="1" applyFill="1" applyBorder="1" applyAlignment="1">
      <alignment horizontal="center" vertical="center"/>
    </xf>
    <xf numFmtId="0" fontId="54" fillId="18" borderId="1" xfId="0" applyFont="1" applyFill="1" applyBorder="1" applyAlignment="1">
      <alignment horizontal="center" vertical="center" wrapText="1"/>
    </xf>
    <xf numFmtId="0" fontId="0" fillId="0" borderId="18" xfId="0" applyBorder="1"/>
    <xf numFmtId="0" fontId="0" fillId="0" borderId="19" xfId="0" applyBorder="1"/>
    <xf numFmtId="0" fontId="54" fillId="0" borderId="14" xfId="0" applyFont="1" applyBorder="1"/>
    <xf numFmtId="0" fontId="0" fillId="0" borderId="1" xfId="0" applyBorder="1" applyAlignment="1">
      <alignment vertical="center"/>
    </xf>
    <xf numFmtId="0" fontId="59" fillId="0" borderId="20" xfId="0" applyFont="1" applyBorder="1"/>
    <xf numFmtId="0" fontId="0" fillId="0" borderId="1" xfId="0" applyBorder="1"/>
    <xf numFmtId="0" fontId="0" fillId="0" borderId="21" xfId="0" applyBorder="1"/>
    <xf numFmtId="0" fontId="54" fillId="0" borderId="9" xfId="0" applyFont="1" applyBorder="1"/>
    <xf numFmtId="0" fontId="0" fillId="0" borderId="4" xfId="0" applyBorder="1" applyAlignment="1">
      <alignment vertical="center"/>
    </xf>
    <xf numFmtId="0" fontId="59" fillId="0" borderId="1" xfId="0" applyFont="1" applyBorder="1"/>
    <xf numFmtId="170" fontId="0" fillId="0" borderId="21" xfId="0" applyNumberFormat="1" applyBorder="1"/>
    <xf numFmtId="171" fontId="54" fillId="0" borderId="9" xfId="0" applyNumberFormat="1" applyFont="1" applyBorder="1"/>
    <xf numFmtId="0" fontId="54" fillId="0" borderId="5" xfId="0" applyFont="1" applyBorder="1" applyAlignment="1">
      <alignment horizontal="right" vertical="center"/>
    </xf>
    <xf numFmtId="0" fontId="61" fillId="12" borderId="2" xfId="0" applyFont="1" applyFill="1" applyBorder="1" applyAlignment="1">
      <alignment vertical="center"/>
    </xf>
    <xf numFmtId="0" fontId="54" fillId="14" borderId="2" xfId="0" applyFont="1" applyFill="1" applyBorder="1" applyAlignment="1">
      <alignment horizontal="right"/>
    </xf>
    <xf numFmtId="0" fontId="59" fillId="0" borderId="22" xfId="0" applyFont="1" applyBorder="1"/>
    <xf numFmtId="0" fontId="59" fillId="0" borderId="23" xfId="0" applyFont="1" applyBorder="1"/>
    <xf numFmtId="0" fontId="0" fillId="0" borderId="23" xfId="0" applyBorder="1"/>
    <xf numFmtId="170" fontId="0" fillId="0" borderId="24" xfId="0" applyNumberFormat="1" applyBorder="1"/>
    <xf numFmtId="0" fontId="54" fillId="0" borderId="10" xfId="0" applyFont="1" applyBorder="1"/>
    <xf numFmtId="0" fontId="0" fillId="0" borderId="8" xfId="0" applyBorder="1" applyAlignment="1">
      <alignment horizontal="center" vertical="center"/>
    </xf>
    <xf numFmtId="0" fontId="54" fillId="18" borderId="72" xfId="0" applyFont="1" applyFill="1" applyBorder="1" applyAlignment="1">
      <alignment horizontal="center" vertical="center"/>
    </xf>
    <xf numFmtId="0" fontId="54" fillId="18" borderId="72" xfId="0" applyFont="1" applyFill="1" applyBorder="1" applyAlignment="1">
      <alignment horizontal="center" vertical="center" wrapText="1"/>
    </xf>
    <xf numFmtId="0" fontId="0" fillId="17" borderId="10" xfId="0" applyFill="1" applyBorder="1" applyAlignment="1">
      <alignment horizontal="center" vertical="center" wrapText="1"/>
    </xf>
    <xf numFmtId="0" fontId="0" fillId="0" borderId="14" xfId="0" applyBorder="1"/>
    <xf numFmtId="0" fontId="0" fillId="0" borderId="9" xfId="0" applyBorder="1"/>
    <xf numFmtId="172" fontId="54" fillId="0" borderId="9" xfId="0" applyNumberFormat="1" applyFont="1" applyBorder="1"/>
    <xf numFmtId="0" fontId="0" fillId="0" borderId="10" xfId="0" applyBorder="1"/>
    <xf numFmtId="0" fontId="0" fillId="18" borderId="5" xfId="0" applyFill="1" applyBorder="1" applyAlignment="1">
      <alignment horizontal="center" vertical="center"/>
    </xf>
    <xf numFmtId="0" fontId="0" fillId="18" borderId="32" xfId="0" applyFill="1" applyBorder="1" applyAlignment="1">
      <alignment horizontal="center" vertical="center" wrapText="1"/>
    </xf>
    <xf numFmtId="0" fontId="0" fillId="18" borderId="33" xfId="0" applyFill="1" applyBorder="1" applyAlignment="1">
      <alignment horizontal="center" vertical="center" wrapText="1"/>
    </xf>
    <xf numFmtId="0" fontId="0" fillId="18" borderId="34" xfId="0" applyFill="1" applyBorder="1" applyAlignment="1">
      <alignment horizontal="center" vertical="center" wrapText="1"/>
    </xf>
    <xf numFmtId="0" fontId="54" fillId="18" borderId="12" xfId="0" applyFont="1" applyFill="1" applyBorder="1" applyAlignment="1">
      <alignment horizontal="center" vertical="center" wrapText="1"/>
    </xf>
    <xf numFmtId="0" fontId="54" fillId="11" borderId="2" xfId="0" applyFont="1" applyFill="1" applyBorder="1" applyAlignment="1">
      <alignment horizontal="center" vertical="center"/>
    </xf>
    <xf numFmtId="0" fontId="54" fillId="11" borderId="2" xfId="0" applyFont="1" applyFill="1" applyBorder="1" applyAlignment="1">
      <alignment horizontal="center" vertical="center" wrapText="1"/>
    </xf>
    <xf numFmtId="0" fontId="0" fillId="0" borderId="36" xfId="0" applyBorder="1" applyAlignment="1">
      <alignment horizontal="center"/>
    </xf>
    <xf numFmtId="0" fontId="59" fillId="0" borderId="72" xfId="0" applyFont="1" applyBorder="1" applyAlignment="1">
      <alignment horizontal="center" vertical="center"/>
    </xf>
    <xf numFmtId="0" fontId="62" fillId="0" borderId="72" xfId="0" applyFont="1" applyBorder="1" applyAlignment="1">
      <alignment horizontal="center"/>
    </xf>
    <xf numFmtId="0" fontId="0" fillId="0" borderId="64" xfId="0" applyBorder="1"/>
    <xf numFmtId="0" fontId="54" fillId="0" borderId="45" xfId="0" applyFont="1" applyBorder="1"/>
    <xf numFmtId="0" fontId="0" fillId="0" borderId="72" xfId="0" applyBorder="1" applyAlignment="1">
      <alignment vertical="center"/>
    </xf>
    <xf numFmtId="0" fontId="0" fillId="0" borderId="28" xfId="0" applyBorder="1" applyAlignment="1">
      <alignment horizontal="center"/>
    </xf>
    <xf numFmtId="0" fontId="59" fillId="0" borderId="20" xfId="0" applyFont="1" applyBorder="1" applyAlignment="1">
      <alignment horizontal="center" vertical="center"/>
    </xf>
    <xf numFmtId="0" fontId="59" fillId="0" borderId="1" xfId="0" applyFont="1" applyBorder="1" applyAlignment="1">
      <alignment horizontal="center" vertical="center"/>
    </xf>
    <xf numFmtId="0" fontId="0" fillId="0" borderId="1" xfId="0" applyBorder="1" applyAlignment="1">
      <alignment horizontal="center" vertical="center"/>
    </xf>
    <xf numFmtId="0" fontId="62" fillId="0" borderId="1" xfId="0" applyFont="1" applyBorder="1" applyAlignment="1">
      <alignment horizontal="center"/>
    </xf>
    <xf numFmtId="0" fontId="54" fillId="0" borderId="38" xfId="0" applyFont="1" applyBorder="1"/>
    <xf numFmtId="0" fontId="54" fillId="0" borderId="2" xfId="0" applyFont="1" applyBorder="1" applyAlignment="1">
      <alignment horizontal="right"/>
    </xf>
    <xf numFmtId="0" fontId="54" fillId="14" borderId="2" xfId="0" applyFont="1" applyFill="1" applyBorder="1"/>
    <xf numFmtId="0" fontId="63" fillId="0" borderId="1" xfId="0" applyFont="1" applyBorder="1" applyAlignment="1">
      <alignment horizontal="center" vertical="center"/>
    </xf>
    <xf numFmtId="173" fontId="0" fillId="0" borderId="21" xfId="0" applyNumberFormat="1" applyBorder="1"/>
    <xf numFmtId="172" fontId="54" fillId="0" borderId="38" xfId="0" applyNumberFormat="1" applyFont="1" applyBorder="1"/>
    <xf numFmtId="0" fontId="0" fillId="0" borderId="30" xfId="0" applyBorder="1" applyAlignment="1">
      <alignment horizontal="center"/>
    </xf>
    <xf numFmtId="0" fontId="59" fillId="0" borderId="22" xfId="0" applyFont="1" applyBorder="1" applyAlignment="1">
      <alignment horizontal="center" vertical="center"/>
    </xf>
    <xf numFmtId="0" fontId="59" fillId="0" borderId="23" xfId="0" applyFont="1" applyBorder="1" applyAlignment="1">
      <alignment horizontal="center" vertical="center"/>
    </xf>
    <xf numFmtId="0" fontId="62" fillId="0" borderId="23" xfId="0" applyFont="1" applyBorder="1" applyAlignment="1">
      <alignment horizontal="center"/>
    </xf>
    <xf numFmtId="0" fontId="0" fillId="0" borderId="24" xfId="0" applyBorder="1"/>
    <xf numFmtId="0" fontId="54" fillId="0" borderId="71" xfId="0" applyFont="1" applyBorder="1"/>
    <xf numFmtId="0" fontId="0" fillId="0" borderId="0" xfId="0" applyAlignment="1">
      <alignment horizontal="center" vertical="center"/>
    </xf>
    <xf numFmtId="0" fontId="60" fillId="0" borderId="0" xfId="0" applyFont="1" applyAlignment="1">
      <alignment horizontal="center" vertical="center"/>
    </xf>
    <xf numFmtId="0" fontId="62" fillId="0" borderId="0" xfId="0" applyFont="1" applyAlignment="1">
      <alignment horizontal="center"/>
    </xf>
    <xf numFmtId="0" fontId="0" fillId="11" borderId="2" xfId="0" applyFill="1" applyBorder="1" applyAlignment="1">
      <alignment horizontal="center" vertical="center"/>
    </xf>
    <xf numFmtId="0" fontId="0" fillId="11" borderId="32" xfId="0" applyFill="1" applyBorder="1" applyAlignment="1">
      <alignment horizontal="center" vertical="center" wrapText="1"/>
    </xf>
    <xf numFmtId="0" fontId="0" fillId="11" borderId="33" xfId="0" applyFill="1" applyBorder="1" applyAlignment="1">
      <alignment horizontal="center" vertical="center" wrapText="1"/>
    </xf>
    <xf numFmtId="0" fontId="0" fillId="11" borderId="34" xfId="0" applyFill="1" applyBorder="1" applyAlignment="1">
      <alignment horizontal="center" vertical="center" wrapText="1"/>
    </xf>
    <xf numFmtId="0" fontId="0" fillId="0" borderId="14" xfId="0" applyBorder="1" applyAlignment="1">
      <alignment horizontal="center" vertical="center"/>
    </xf>
    <xf numFmtId="43" fontId="59" fillId="0" borderId="81" xfId="1" applyFont="1" applyBorder="1" applyAlignment="1">
      <alignment horizontal="center" vertical="center"/>
    </xf>
    <xf numFmtId="43" fontId="59" fillId="0" borderId="72" xfId="1" applyFont="1" applyBorder="1" applyAlignment="1">
      <alignment horizontal="center" vertical="center"/>
    </xf>
    <xf numFmtId="43" fontId="0" fillId="0" borderId="72" xfId="1" applyFont="1" applyBorder="1" applyAlignment="1">
      <alignment horizontal="center" vertical="center"/>
    </xf>
    <xf numFmtId="0" fontId="0" fillId="0" borderId="64" xfId="0" applyBorder="1" applyAlignment="1">
      <alignment horizontal="center" vertical="center"/>
    </xf>
    <xf numFmtId="165" fontId="59" fillId="0" borderId="81" xfId="1" applyNumberFormat="1" applyFont="1" applyBorder="1" applyAlignment="1">
      <alignment horizontal="center" vertical="center"/>
    </xf>
    <xf numFmtId="165" fontId="59" fillId="0" borderId="72" xfId="1" applyNumberFormat="1" applyFont="1" applyBorder="1" applyAlignment="1">
      <alignment horizontal="center" vertical="center"/>
    </xf>
    <xf numFmtId="165" fontId="0" fillId="0" borderId="72" xfId="1" applyNumberFormat="1" applyFont="1" applyBorder="1" applyAlignment="1">
      <alignment horizontal="center" vertical="center"/>
    </xf>
    <xf numFmtId="2" fontId="54" fillId="19" borderId="14" xfId="0" applyNumberFormat="1" applyFont="1" applyFill="1" applyBorder="1"/>
    <xf numFmtId="43" fontId="59" fillId="0" borderId="20" xfId="1" applyFont="1" applyBorder="1" applyAlignment="1">
      <alignment horizontal="center" vertical="center"/>
    </xf>
    <xf numFmtId="43" fontId="59" fillId="0" borderId="1" xfId="1" applyFont="1" applyBorder="1" applyAlignment="1">
      <alignment horizontal="center" vertical="center"/>
    </xf>
    <xf numFmtId="43" fontId="0" fillId="0" borderId="1" xfId="1" applyFont="1" applyBorder="1" applyAlignment="1">
      <alignment horizontal="center" vertical="center"/>
    </xf>
    <xf numFmtId="0" fontId="0" fillId="0" borderId="21" xfId="0" applyBorder="1" applyAlignment="1">
      <alignment horizontal="center" vertical="center"/>
    </xf>
    <xf numFmtId="165" fontId="0" fillId="0" borderId="1" xfId="1" applyNumberFormat="1" applyFont="1" applyBorder="1" applyAlignment="1">
      <alignment horizontal="center" vertical="center"/>
    </xf>
    <xf numFmtId="2" fontId="54" fillId="19" borderId="9" xfId="0" applyNumberFormat="1" applyFont="1" applyFill="1" applyBorder="1"/>
    <xf numFmtId="165" fontId="59" fillId="0" borderId="82" xfId="1" applyNumberFormat="1" applyFont="1" applyBorder="1" applyAlignment="1">
      <alignment horizontal="center" vertical="center"/>
    </xf>
    <xf numFmtId="43" fontId="59" fillId="0" borderId="1" xfId="1" applyFont="1" applyFill="1" applyBorder="1" applyAlignment="1">
      <alignment horizontal="center" vertical="center"/>
    </xf>
    <xf numFmtId="0" fontId="54" fillId="19" borderId="9" xfId="0" applyFont="1" applyFill="1" applyBorder="1"/>
    <xf numFmtId="43" fontId="0" fillId="0" borderId="23" xfId="1" applyFont="1" applyBorder="1" applyAlignment="1">
      <alignment horizontal="center" vertical="center"/>
    </xf>
    <xf numFmtId="0" fontId="0" fillId="0" borderId="24" xfId="0" applyBorder="1" applyAlignment="1">
      <alignment horizontal="center" vertical="center"/>
    </xf>
    <xf numFmtId="43" fontId="59" fillId="0" borderId="22" xfId="1" applyFont="1" applyBorder="1" applyAlignment="1">
      <alignment horizontal="center" vertical="center"/>
    </xf>
    <xf numFmtId="43" fontId="59" fillId="0" borderId="23" xfId="1" applyFont="1" applyBorder="1" applyAlignment="1">
      <alignment horizontal="center" vertical="center"/>
    </xf>
    <xf numFmtId="0" fontId="54" fillId="19" borderId="10" xfId="0" applyFont="1" applyFill="1" applyBorder="1"/>
    <xf numFmtId="0" fontId="64" fillId="20" borderId="8" xfId="0" applyFont="1" applyFill="1" applyBorder="1" applyAlignment="1">
      <alignment horizontal="center" vertical="center"/>
    </xf>
    <xf numFmtId="0" fontId="0" fillId="20" borderId="17" xfId="0" applyFill="1" applyBorder="1" applyAlignment="1">
      <alignment horizontal="center" vertical="center" wrapText="1"/>
    </xf>
    <xf numFmtId="0" fontId="0" fillId="20" borderId="18" xfId="0" applyFill="1" applyBorder="1" applyAlignment="1">
      <alignment horizontal="center" vertical="center" wrapText="1"/>
    </xf>
    <xf numFmtId="0" fontId="0" fillId="20" borderId="25" xfId="0" applyFill="1" applyBorder="1" applyAlignment="1">
      <alignment horizontal="center" vertical="center" wrapText="1"/>
    </xf>
    <xf numFmtId="0" fontId="54" fillId="20" borderId="8" xfId="0" applyFont="1" applyFill="1" applyBorder="1" applyAlignment="1">
      <alignment horizontal="center" vertical="center" wrapText="1"/>
    </xf>
    <xf numFmtId="0" fontId="0" fillId="10" borderId="17" xfId="0" applyFill="1" applyBorder="1" applyAlignment="1">
      <alignment horizontal="center" vertical="center" wrapText="1"/>
    </xf>
    <xf numFmtId="0" fontId="0" fillId="10" borderId="18" xfId="0" applyFill="1" applyBorder="1" applyAlignment="1">
      <alignment horizontal="center" vertical="center" wrapText="1"/>
    </xf>
    <xf numFmtId="0" fontId="0" fillId="10" borderId="19" xfId="0" applyFill="1" applyBorder="1" applyAlignment="1">
      <alignment horizontal="center" vertical="center" wrapText="1"/>
    </xf>
    <xf numFmtId="0" fontId="54" fillId="10" borderId="8" xfId="0" applyFont="1" applyFill="1" applyBorder="1" applyAlignment="1">
      <alignment horizontal="center" vertical="center" wrapText="1"/>
    </xf>
    <xf numFmtId="0" fontId="54" fillId="13" borderId="6" xfId="0" applyFont="1" applyFill="1" applyBorder="1" applyAlignment="1">
      <alignment horizontal="center" vertical="center" wrapText="1"/>
    </xf>
    <xf numFmtId="0" fontId="54" fillId="13" borderId="2" xfId="0" applyFont="1" applyFill="1" applyBorder="1" applyAlignment="1">
      <alignment horizontal="center" vertical="center" wrapText="1"/>
    </xf>
    <xf numFmtId="1" fontId="59" fillId="0" borderId="20" xfId="0" applyNumberFormat="1" applyFont="1" applyBorder="1" applyAlignment="1">
      <alignment horizontal="center" vertical="center"/>
    </xf>
    <xf numFmtId="0" fontId="0" fillId="0" borderId="3" xfId="0" applyBorder="1" applyAlignment="1">
      <alignment horizontal="center" vertical="center"/>
    </xf>
    <xf numFmtId="174" fontId="54" fillId="13" borderId="70" xfId="0" applyNumberFormat="1" applyFont="1" applyFill="1" applyBorder="1" applyAlignment="1">
      <alignment horizontal="center" vertical="center" wrapText="1"/>
    </xf>
    <xf numFmtId="43" fontId="54" fillId="13" borderId="8" xfId="1" applyFont="1" applyFill="1" applyBorder="1"/>
    <xf numFmtId="0" fontId="54" fillId="13" borderId="28" xfId="0" applyFont="1" applyFill="1" applyBorder="1" applyAlignment="1">
      <alignment horizontal="center" vertical="center" wrapText="1"/>
    </xf>
    <xf numFmtId="43" fontId="54" fillId="13" borderId="9" xfId="1" applyFont="1" applyFill="1" applyBorder="1"/>
    <xf numFmtId="1" fontId="59" fillId="0" borderId="22" xfId="0" applyNumberFormat="1" applyFont="1" applyBorder="1" applyAlignment="1">
      <alignment horizontal="center" vertical="center"/>
    </xf>
    <xf numFmtId="0" fontId="0" fillId="0" borderId="23" xfId="0" applyBorder="1" applyAlignment="1">
      <alignment horizontal="center" vertical="center"/>
    </xf>
    <xf numFmtId="0" fontId="0" fillId="0" borderId="26" xfId="0" applyBorder="1" applyAlignment="1">
      <alignment horizontal="center" vertical="center"/>
    </xf>
    <xf numFmtId="0" fontId="54" fillId="13" borderId="30" xfId="0" applyFont="1" applyFill="1" applyBorder="1" applyAlignment="1">
      <alignment horizontal="center" vertical="center" wrapText="1"/>
    </xf>
    <xf numFmtId="43" fontId="54" fillId="13" borderId="10" xfId="1" applyFont="1" applyFill="1" applyBorder="1"/>
    <xf numFmtId="0" fontId="64" fillId="21" borderId="8" xfId="0" applyFont="1" applyFill="1" applyBorder="1" applyAlignment="1">
      <alignment horizontal="center" vertical="center"/>
    </xf>
    <xf numFmtId="0" fontId="0" fillId="21" borderId="17" xfId="0" applyFill="1" applyBorder="1" applyAlignment="1">
      <alignment horizontal="center" vertical="center" wrapText="1"/>
    </xf>
    <xf numFmtId="0" fontId="0" fillId="21" borderId="18" xfId="0" applyFill="1" applyBorder="1" applyAlignment="1">
      <alignment horizontal="center" vertical="center" wrapText="1"/>
    </xf>
    <xf numFmtId="0" fontId="0" fillId="21" borderId="19" xfId="0" applyFill="1" applyBorder="1" applyAlignment="1">
      <alignment horizontal="center" vertical="center" wrapText="1"/>
    </xf>
    <xf numFmtId="0" fontId="54" fillId="21" borderId="6" xfId="0" applyFont="1" applyFill="1" applyBorder="1" applyAlignment="1">
      <alignment horizontal="center" vertical="center" wrapText="1"/>
    </xf>
    <xf numFmtId="0" fontId="0" fillId="22" borderId="17" xfId="0" applyFill="1" applyBorder="1" applyAlignment="1">
      <alignment horizontal="center" vertical="center" wrapText="1"/>
    </xf>
    <xf numFmtId="0" fontId="0" fillId="22" borderId="18" xfId="0" applyFill="1" applyBorder="1" applyAlignment="1">
      <alignment horizontal="center" vertical="center" wrapText="1"/>
    </xf>
    <xf numFmtId="0" fontId="0" fillId="22" borderId="19" xfId="0" applyFill="1" applyBorder="1" applyAlignment="1">
      <alignment horizontal="center" vertical="center" wrapText="1"/>
    </xf>
    <xf numFmtId="0" fontId="54" fillId="22" borderId="8" xfId="0" applyFont="1" applyFill="1" applyBorder="1" applyAlignment="1">
      <alignment horizontal="center" vertical="center" wrapText="1"/>
    </xf>
    <xf numFmtId="0" fontId="0" fillId="2" borderId="72" xfId="1" applyNumberFormat="1" applyFont="1" applyFill="1" applyBorder="1" applyAlignment="1">
      <alignment horizontal="center" vertical="center"/>
    </xf>
    <xf numFmtId="1" fontId="59" fillId="0" borderId="81" xfId="1" applyNumberFormat="1" applyFont="1" applyBorder="1" applyAlignment="1">
      <alignment horizontal="center" vertical="center"/>
    </xf>
    <xf numFmtId="169" fontId="54" fillId="16" borderId="70" xfId="0" applyNumberFormat="1" applyFont="1" applyFill="1" applyBorder="1" applyAlignment="1">
      <alignment horizontal="center" vertical="center" wrapText="1"/>
    </xf>
    <xf numFmtId="169" fontId="54" fillId="16" borderId="8" xfId="1" applyNumberFormat="1" applyFont="1" applyFill="1" applyBorder="1" applyAlignment="1">
      <alignment horizontal="center" vertical="center" wrapText="1"/>
    </xf>
    <xf numFmtId="0" fontId="0" fillId="2" borderId="1" xfId="1" applyNumberFormat="1" applyFont="1" applyFill="1" applyBorder="1" applyAlignment="1">
      <alignment horizontal="center" vertical="center"/>
    </xf>
    <xf numFmtId="1" fontId="59" fillId="0" borderId="81" xfId="1" applyNumberFormat="1" applyFont="1" applyFill="1" applyBorder="1" applyAlignment="1">
      <alignment horizontal="center" vertical="center"/>
    </xf>
    <xf numFmtId="169" fontId="54" fillId="16" borderId="28" xfId="0" applyNumberFormat="1" applyFont="1" applyFill="1" applyBorder="1" applyAlignment="1">
      <alignment horizontal="center" vertical="center" wrapText="1"/>
    </xf>
    <xf numFmtId="169" fontId="54" fillId="16" borderId="9" xfId="1" applyNumberFormat="1" applyFont="1" applyFill="1" applyBorder="1" applyAlignment="1">
      <alignment horizontal="center" vertical="center" wrapText="1"/>
    </xf>
    <xf numFmtId="2" fontId="59" fillId="0" borderId="20" xfId="0" applyNumberFormat="1" applyFont="1" applyBorder="1" applyAlignment="1">
      <alignment horizontal="center" vertical="center"/>
    </xf>
    <xf numFmtId="169" fontId="54" fillId="16" borderId="9" xfId="0" applyNumberFormat="1" applyFont="1" applyFill="1" applyBorder="1" applyAlignment="1">
      <alignment horizontal="center" vertical="center" wrapText="1"/>
    </xf>
    <xf numFmtId="1" fontId="59" fillId="0" borderId="20" xfId="1" applyNumberFormat="1" applyFont="1" applyBorder="1" applyAlignment="1">
      <alignment horizontal="center" vertical="center"/>
    </xf>
    <xf numFmtId="0" fontId="64" fillId="0" borderId="9" xfId="0" applyFont="1" applyBorder="1" applyAlignment="1">
      <alignment horizontal="center"/>
    </xf>
    <xf numFmtId="0" fontId="0" fillId="2" borderId="23" xfId="1" applyNumberFormat="1" applyFont="1" applyFill="1" applyBorder="1" applyAlignment="1">
      <alignment horizontal="center" vertical="center"/>
    </xf>
    <xf numFmtId="0" fontId="54" fillId="16" borderId="30" xfId="0" applyFont="1" applyFill="1" applyBorder="1" applyAlignment="1">
      <alignment horizontal="center" vertical="center" wrapText="1"/>
    </xf>
    <xf numFmtId="0" fontId="54" fillId="16" borderId="10" xfId="0" applyFont="1" applyFill="1" applyBorder="1" applyAlignment="1">
      <alignment horizontal="center" vertical="center" wrapText="1"/>
    </xf>
    <xf numFmtId="0" fontId="0" fillId="2" borderId="0" xfId="1" applyNumberFormat="1" applyFont="1" applyFill="1" applyBorder="1" applyAlignment="1">
      <alignment horizontal="center" vertical="center"/>
    </xf>
    <xf numFmtId="0" fontId="54" fillId="0" borderId="0" xfId="0" applyFont="1" applyAlignment="1">
      <alignment horizontal="center" vertical="center" wrapText="1"/>
    </xf>
    <xf numFmtId="0" fontId="64" fillId="17" borderId="8" xfId="0" applyFont="1" applyFill="1" applyBorder="1" applyAlignment="1">
      <alignment horizontal="center" vertical="center"/>
    </xf>
    <xf numFmtId="0" fontId="0" fillId="17" borderId="41" xfId="0" applyFill="1" applyBorder="1" applyAlignment="1">
      <alignment horizontal="center" vertical="center" wrapText="1"/>
    </xf>
    <xf numFmtId="0" fontId="54" fillId="17" borderId="6" xfId="0" applyFont="1" applyFill="1" applyBorder="1" applyAlignment="1">
      <alignment horizontal="center" vertical="center" wrapText="1"/>
    </xf>
    <xf numFmtId="165" fontId="0" fillId="0" borderId="70" xfId="1" applyNumberFormat="1" applyFont="1" applyBorder="1"/>
    <xf numFmtId="2" fontId="54" fillId="0" borderId="8" xfId="0" applyNumberFormat="1" applyFont="1" applyBorder="1"/>
    <xf numFmtId="165" fontId="0" fillId="0" borderId="28" xfId="1" applyNumberFormat="1" applyFont="1" applyBorder="1"/>
    <xf numFmtId="2" fontId="54" fillId="0" borderId="9" xfId="0" applyNumberFormat="1" applyFont="1" applyBorder="1"/>
    <xf numFmtId="165" fontId="0" fillId="0" borderId="30" xfId="1" applyNumberFormat="1" applyFont="1" applyBorder="1"/>
    <xf numFmtId="2" fontId="54" fillId="0" borderId="10" xfId="0" applyNumberFormat="1" applyFont="1" applyBorder="1"/>
    <xf numFmtId="0" fontId="0" fillId="14" borderId="17" xfId="0" applyFill="1" applyBorder="1" applyAlignment="1">
      <alignment horizontal="center" vertical="center" wrapText="1"/>
    </xf>
    <xf numFmtId="0" fontId="0" fillId="14" borderId="18" xfId="0" applyFill="1" applyBorder="1" applyAlignment="1">
      <alignment horizontal="center" vertical="center" wrapText="1"/>
    </xf>
    <xf numFmtId="10" fontId="0" fillId="14" borderId="18" xfId="0" applyNumberFormat="1" applyFill="1" applyBorder="1" applyAlignment="1">
      <alignment horizontal="center" vertical="center"/>
    </xf>
    <xf numFmtId="0" fontId="0" fillId="14" borderId="19" xfId="0" applyFill="1" applyBorder="1" applyAlignment="1">
      <alignment horizontal="center" vertical="center" wrapText="1"/>
    </xf>
    <xf numFmtId="0" fontId="54" fillId="14" borderId="6" xfId="0" applyFont="1" applyFill="1" applyBorder="1" applyAlignment="1">
      <alignment horizontal="center" vertical="center" wrapText="1"/>
    </xf>
    <xf numFmtId="3" fontId="59" fillId="0" borderId="20" xfId="0" applyNumberFormat="1" applyFont="1" applyBorder="1" applyAlignment="1">
      <alignment horizontal="center" vertical="center"/>
    </xf>
    <xf numFmtId="0" fontId="0" fillId="0" borderId="8" xfId="0" applyBorder="1"/>
    <xf numFmtId="3" fontId="59" fillId="0" borderId="22" xfId="0" applyNumberFormat="1" applyFont="1" applyBorder="1" applyAlignment="1">
      <alignment horizontal="center" vertical="center"/>
    </xf>
    <xf numFmtId="4" fontId="59" fillId="0" borderId="0" xfId="0" applyNumberFormat="1" applyFont="1" applyAlignment="1">
      <alignment horizontal="center" vertical="center"/>
    </xf>
    <xf numFmtId="0" fontId="54" fillId="0" borderId="2" xfId="0" applyFont="1" applyBorder="1" applyAlignment="1">
      <alignment horizontal="center" vertical="center" wrapText="1"/>
    </xf>
    <xf numFmtId="0" fontId="54" fillId="0" borderId="32" xfId="0" applyFont="1" applyBorder="1" applyAlignment="1">
      <alignment horizontal="center" vertical="center"/>
    </xf>
    <xf numFmtId="0" fontId="54" fillId="0" borderId="33" xfId="0" applyFont="1" applyBorder="1" applyAlignment="1">
      <alignment horizontal="center" vertical="center"/>
    </xf>
    <xf numFmtId="0" fontId="54" fillId="0" borderId="34" xfId="0" applyFont="1" applyBorder="1" applyAlignment="1">
      <alignment horizontal="center" vertical="center" wrapText="1"/>
    </xf>
    <xf numFmtId="0" fontId="54" fillId="0" borderId="50" xfId="0" applyFont="1" applyBorder="1" applyAlignment="1">
      <alignment horizontal="center" vertical="center" wrapText="1"/>
    </xf>
    <xf numFmtId="0" fontId="54" fillId="0" borderId="75" xfId="0" applyFont="1" applyBorder="1" applyAlignment="1">
      <alignment horizontal="center" vertical="center" wrapText="1"/>
    </xf>
    <xf numFmtId="0" fontId="54" fillId="0" borderId="76" xfId="0" applyFont="1" applyBorder="1" applyAlignment="1">
      <alignment horizontal="center" vertical="center" wrapText="1"/>
    </xf>
    <xf numFmtId="0" fontId="54" fillId="0" borderId="77" xfId="0" applyFont="1" applyBorder="1" applyAlignment="1">
      <alignment horizontal="center" vertical="center" wrapText="1"/>
    </xf>
    <xf numFmtId="0" fontId="60" fillId="17" borderId="11" xfId="0" applyFont="1" applyFill="1" applyBorder="1" applyAlignment="1">
      <alignment horizontal="center" vertical="center" wrapText="1"/>
    </xf>
    <xf numFmtId="0" fontId="60" fillId="17" borderId="2" xfId="0" applyFont="1" applyFill="1" applyBorder="1" applyAlignment="1">
      <alignment horizontal="center" vertical="center" wrapText="1"/>
    </xf>
    <xf numFmtId="165" fontId="66" fillId="0" borderId="81" xfId="1" applyNumberFormat="1" applyFont="1" applyFill="1" applyBorder="1" applyAlignment="1">
      <alignment horizontal="center" vertical="center"/>
    </xf>
    <xf numFmtId="43" fontId="67" fillId="0" borderId="72" xfId="1" applyFont="1" applyFill="1" applyBorder="1" applyAlignment="1">
      <alignment horizontal="center" vertical="center"/>
    </xf>
    <xf numFmtId="165" fontId="67" fillId="0" borderId="64" xfId="1" applyNumberFormat="1" applyFont="1" applyFill="1" applyBorder="1" applyAlignment="1">
      <alignment horizontal="center" vertical="center"/>
    </xf>
    <xf numFmtId="166" fontId="67" fillId="0" borderId="72" xfId="1" applyNumberFormat="1" applyFont="1" applyFill="1" applyBorder="1" applyAlignment="1">
      <alignment horizontal="center" vertical="center"/>
    </xf>
    <xf numFmtId="175" fontId="67" fillId="0" borderId="72" xfId="1" applyNumberFormat="1" applyFont="1" applyFill="1" applyBorder="1" applyAlignment="1">
      <alignment horizontal="center" vertical="center"/>
    </xf>
    <xf numFmtId="165" fontId="59" fillId="0" borderId="81" xfId="1" applyNumberFormat="1" applyFont="1" applyFill="1" applyBorder="1" applyAlignment="1">
      <alignment horizontal="center" vertical="center"/>
    </xf>
    <xf numFmtId="175" fontId="0" fillId="0" borderId="72" xfId="1" applyNumberFormat="1" applyFont="1" applyFill="1" applyBorder="1" applyAlignment="1">
      <alignment horizontal="center" vertical="center"/>
    </xf>
    <xf numFmtId="165" fontId="0" fillId="0" borderId="74" xfId="1" applyNumberFormat="1" applyFont="1" applyFill="1" applyBorder="1" applyAlignment="1">
      <alignment horizontal="center" vertical="center"/>
    </xf>
    <xf numFmtId="165" fontId="68" fillId="0" borderId="17" xfId="1" applyNumberFormat="1" applyFont="1" applyFill="1" applyBorder="1" applyAlignment="1">
      <alignment horizontal="center" vertical="center"/>
    </xf>
    <xf numFmtId="175" fontId="0" fillId="0" borderId="18" xfId="1" applyNumberFormat="1" applyFont="1" applyFill="1" applyBorder="1" applyAlignment="1">
      <alignment horizontal="center" vertical="center"/>
    </xf>
    <xf numFmtId="165" fontId="0" fillId="0" borderId="19" xfId="1" applyNumberFormat="1" applyFont="1" applyFill="1" applyBorder="1" applyAlignment="1">
      <alignment horizontal="center" vertical="center"/>
    </xf>
    <xf numFmtId="165" fontId="0" fillId="17" borderId="78" xfId="1" applyNumberFormat="1" applyFont="1" applyFill="1" applyBorder="1" applyAlignment="1">
      <alignment horizontal="center" vertical="center"/>
    </xf>
    <xf numFmtId="165" fontId="0" fillId="17" borderId="14" xfId="1" applyNumberFormat="1" applyFont="1" applyFill="1" applyBorder="1" applyAlignment="1">
      <alignment horizontal="center" vertical="center"/>
    </xf>
    <xf numFmtId="43" fontId="67" fillId="0" borderId="1" xfId="1" applyFont="1" applyFill="1" applyBorder="1" applyAlignment="1">
      <alignment horizontal="center" vertical="center"/>
    </xf>
    <xf numFmtId="165" fontId="67" fillId="0" borderId="21" xfId="1" applyNumberFormat="1" applyFont="1" applyFill="1" applyBorder="1" applyAlignment="1">
      <alignment horizontal="center" vertical="center"/>
    </xf>
    <xf numFmtId="166" fontId="67" fillId="0" borderId="1" xfId="1" applyNumberFormat="1" applyFont="1" applyFill="1" applyBorder="1" applyAlignment="1">
      <alignment horizontal="center" vertical="center"/>
    </xf>
    <xf numFmtId="175" fontId="67" fillId="0" borderId="1" xfId="1" applyNumberFormat="1" applyFont="1" applyFill="1" applyBorder="1" applyAlignment="1">
      <alignment horizontal="center" vertical="center"/>
    </xf>
    <xf numFmtId="165" fontId="59" fillId="0" borderId="20" xfId="1" applyNumberFormat="1" applyFont="1" applyFill="1" applyBorder="1" applyAlignment="1">
      <alignment horizontal="center" vertical="center"/>
    </xf>
    <xf numFmtId="175" fontId="0" fillId="0" borderId="1" xfId="1" applyNumberFormat="1" applyFont="1" applyFill="1" applyBorder="1" applyAlignment="1">
      <alignment horizontal="center" vertical="center"/>
    </xf>
    <xf numFmtId="165" fontId="0" fillId="0" borderId="3" xfId="1" applyNumberFormat="1" applyFont="1" applyFill="1" applyBorder="1" applyAlignment="1">
      <alignment horizontal="center" vertical="center"/>
    </xf>
    <xf numFmtId="165" fontId="68" fillId="0" borderId="20" xfId="1" applyNumberFormat="1" applyFont="1" applyFill="1" applyBorder="1" applyAlignment="1">
      <alignment horizontal="center" vertical="center"/>
    </xf>
    <xf numFmtId="165" fontId="0" fillId="0" borderId="21" xfId="1" applyNumberFormat="1" applyFont="1" applyFill="1" applyBorder="1" applyAlignment="1">
      <alignment horizontal="center" vertical="center"/>
    </xf>
    <xf numFmtId="165" fontId="0" fillId="17" borderId="9" xfId="1" applyNumberFormat="1" applyFont="1" applyFill="1" applyBorder="1" applyAlignment="1">
      <alignment horizontal="center" vertical="center"/>
    </xf>
    <xf numFmtId="0" fontId="0" fillId="0" borderId="15" xfId="0" applyBorder="1" applyAlignment="1">
      <alignment horizontal="center" vertical="center"/>
    </xf>
    <xf numFmtId="165" fontId="66" fillId="0" borderId="47" xfId="1" applyNumberFormat="1" applyFont="1" applyFill="1" applyBorder="1" applyAlignment="1">
      <alignment horizontal="center" vertical="center"/>
    </xf>
    <xf numFmtId="43" fontId="67" fillId="0" borderId="4" xfId="1" applyFont="1" applyFill="1" applyBorder="1" applyAlignment="1">
      <alignment horizontal="center" vertical="center"/>
    </xf>
    <xf numFmtId="165" fontId="67" fillId="0" borderId="48" xfId="1" applyNumberFormat="1" applyFont="1" applyFill="1" applyBorder="1" applyAlignment="1">
      <alignment horizontal="center" vertical="center"/>
    </xf>
    <xf numFmtId="166" fontId="67" fillId="0" borderId="4" xfId="1" applyNumberFormat="1" applyFont="1" applyFill="1" applyBorder="1" applyAlignment="1">
      <alignment horizontal="center" vertical="center"/>
    </xf>
    <xf numFmtId="175" fontId="67" fillId="0" borderId="4" xfId="1" applyNumberFormat="1" applyFont="1" applyFill="1" applyBorder="1" applyAlignment="1">
      <alignment horizontal="center" vertical="center"/>
    </xf>
    <xf numFmtId="165" fontId="59" fillId="0" borderId="47" xfId="1" applyNumberFormat="1" applyFont="1" applyFill="1" applyBorder="1" applyAlignment="1">
      <alignment horizontal="center" vertical="center"/>
    </xf>
    <xf numFmtId="175" fontId="0" fillId="0" borderId="4" xfId="1" applyNumberFormat="1" applyFont="1" applyFill="1" applyBorder="1" applyAlignment="1">
      <alignment horizontal="center" vertical="center"/>
    </xf>
    <xf numFmtId="165" fontId="0" fillId="0" borderId="51" xfId="1" applyNumberFormat="1" applyFont="1" applyFill="1" applyBorder="1" applyAlignment="1">
      <alignment horizontal="center" vertical="center"/>
    </xf>
    <xf numFmtId="165" fontId="68" fillId="0" borderId="47" xfId="1" applyNumberFormat="1" applyFont="1" applyFill="1" applyBorder="1" applyAlignment="1">
      <alignment horizontal="center" vertical="center"/>
    </xf>
    <xf numFmtId="165" fontId="0" fillId="0" borderId="48" xfId="1" applyNumberFormat="1" applyFont="1" applyFill="1" applyBorder="1" applyAlignment="1">
      <alignment horizontal="center" vertical="center"/>
    </xf>
    <xf numFmtId="165" fontId="0" fillId="17" borderId="15" xfId="1" applyNumberFormat="1" applyFont="1" applyFill="1" applyBorder="1" applyAlignment="1">
      <alignment horizontal="center" vertical="center"/>
    </xf>
    <xf numFmtId="0" fontId="54" fillId="0" borderId="2" xfId="0" applyFont="1" applyBorder="1" applyAlignment="1">
      <alignment horizontal="center"/>
    </xf>
    <xf numFmtId="165" fontId="69" fillId="0" borderId="32" xfId="1" applyNumberFormat="1" applyFont="1" applyBorder="1" applyAlignment="1">
      <alignment horizontal="right" vertical="center"/>
    </xf>
    <xf numFmtId="165" fontId="69" fillId="0" borderId="33" xfId="1" applyNumberFormat="1" applyFont="1" applyBorder="1" applyAlignment="1">
      <alignment horizontal="right" vertical="center"/>
    </xf>
    <xf numFmtId="165" fontId="69" fillId="0" borderId="34" xfId="1" applyNumberFormat="1" applyFont="1" applyBorder="1" applyAlignment="1">
      <alignment horizontal="right" vertical="center"/>
    </xf>
    <xf numFmtId="165" fontId="69" fillId="0" borderId="50" xfId="1" applyNumberFormat="1" applyFont="1" applyBorder="1" applyAlignment="1">
      <alignment horizontal="right" vertical="center"/>
    </xf>
    <xf numFmtId="165" fontId="69" fillId="0" borderId="11" xfId="1" applyNumberFormat="1" applyFont="1" applyBorder="1" applyAlignment="1">
      <alignment horizontal="right" vertical="center"/>
    </xf>
    <xf numFmtId="165" fontId="69" fillId="0" borderId="2" xfId="1" applyNumberFormat="1" applyFont="1" applyBorder="1" applyAlignment="1">
      <alignment horizontal="right" vertical="center"/>
    </xf>
    <xf numFmtId="0" fontId="0" fillId="16" borderId="2" xfId="0" applyFill="1" applyBorder="1" applyAlignment="1">
      <alignment horizontal="center" vertical="center" wrapText="1"/>
    </xf>
    <xf numFmtId="0" fontId="54" fillId="16" borderId="2" xfId="0" applyFont="1" applyFill="1" applyBorder="1" applyAlignment="1">
      <alignment horizontal="center" vertical="center" wrapText="1"/>
    </xf>
    <xf numFmtId="0" fontId="0" fillId="0" borderId="32" xfId="0" applyBorder="1" applyAlignment="1">
      <alignment horizontal="center" vertical="center" wrapText="1"/>
    </xf>
    <xf numFmtId="0" fontId="0" fillId="0" borderId="34" xfId="0" applyBorder="1" applyAlignment="1">
      <alignment horizontal="center" vertical="center" wrapText="1"/>
    </xf>
    <xf numFmtId="165" fontId="0" fillId="0" borderId="8" xfId="1" applyNumberFormat="1" applyFont="1" applyBorder="1"/>
    <xf numFmtId="1" fontId="0" fillId="0" borderId="14" xfId="0" applyNumberFormat="1" applyBorder="1"/>
    <xf numFmtId="165" fontId="0" fillId="0" borderId="17" xfId="0" applyNumberFormat="1" applyBorder="1"/>
    <xf numFmtId="43" fontId="0" fillId="0" borderId="19" xfId="1" applyFont="1" applyBorder="1"/>
    <xf numFmtId="165" fontId="0" fillId="0" borderId="14" xfId="1" applyNumberFormat="1" applyFont="1" applyBorder="1"/>
    <xf numFmtId="165" fontId="0" fillId="0" borderId="20" xfId="0" applyNumberFormat="1" applyBorder="1"/>
    <xf numFmtId="43" fontId="0" fillId="0" borderId="21" xfId="1" applyFont="1" applyBorder="1"/>
    <xf numFmtId="165" fontId="0" fillId="0" borderId="7" xfId="1" applyNumberFormat="1" applyFont="1" applyBorder="1"/>
    <xf numFmtId="165" fontId="0" fillId="0" borderId="22" xfId="0" applyNumberFormat="1" applyBorder="1"/>
    <xf numFmtId="43" fontId="0" fillId="0" borderId="24" xfId="1" applyFont="1" applyBorder="1"/>
    <xf numFmtId="0" fontId="0" fillId="0" borderId="2" xfId="0" applyBorder="1" applyAlignment="1">
      <alignment horizontal="center"/>
    </xf>
    <xf numFmtId="165" fontId="0" fillId="0" borderId="11" xfId="0" applyNumberFormat="1" applyBorder="1"/>
    <xf numFmtId="1" fontId="0" fillId="0" borderId="2" xfId="0" applyNumberFormat="1" applyBorder="1"/>
    <xf numFmtId="165" fontId="0" fillId="0" borderId="2" xfId="0" applyNumberFormat="1" applyBorder="1"/>
    <xf numFmtId="43" fontId="0" fillId="0" borderId="12" xfId="0" applyNumberFormat="1" applyBorder="1"/>
    <xf numFmtId="0" fontId="0" fillId="10" borderId="2" xfId="0" applyFill="1" applyBorder="1"/>
    <xf numFmtId="0" fontId="0" fillId="10" borderId="11" xfId="0" applyFill="1" applyBorder="1" applyAlignment="1">
      <alignment horizontal="center"/>
    </xf>
    <xf numFmtId="0" fontId="0" fillId="10" borderId="2" xfId="0" applyFill="1" applyBorder="1" applyAlignment="1">
      <alignment horizontal="center"/>
    </xf>
    <xf numFmtId="0" fontId="0" fillId="21" borderId="2" xfId="0" applyFill="1" applyBorder="1"/>
    <xf numFmtId="0" fontId="0" fillId="18" borderId="2" xfId="0" applyFill="1" applyBorder="1" applyAlignment="1">
      <alignment horizontal="center"/>
    </xf>
    <xf numFmtId="0" fontId="0" fillId="21" borderId="5" xfId="0" applyFill="1" applyBorder="1" applyAlignment="1">
      <alignment horizontal="center"/>
    </xf>
    <xf numFmtId="0" fontId="0" fillId="21" borderId="11" xfId="0" applyFill="1" applyBorder="1" applyAlignment="1">
      <alignment horizontal="center"/>
    </xf>
    <xf numFmtId="0" fontId="0" fillId="21" borderId="12" xfId="0" applyFill="1" applyBorder="1" applyAlignment="1">
      <alignment horizontal="center"/>
    </xf>
    <xf numFmtId="0" fontId="0" fillId="21" borderId="14" xfId="0" applyFill="1" applyBorder="1"/>
    <xf numFmtId="176" fontId="0" fillId="24" borderId="17" xfId="1" applyNumberFormat="1" applyFont="1" applyFill="1" applyBorder="1"/>
    <xf numFmtId="176" fontId="0" fillId="24" borderId="18" xfId="0" applyNumberFormat="1" applyFill="1" applyBorder="1"/>
    <xf numFmtId="176" fontId="0" fillId="24" borderId="25" xfId="0" applyNumberFormat="1" applyFill="1" applyBorder="1"/>
    <xf numFmtId="176" fontId="0" fillId="24" borderId="19" xfId="0" applyNumberFormat="1" applyFill="1" applyBorder="1"/>
    <xf numFmtId="176" fontId="0" fillId="24" borderId="8" xfId="0" applyNumberFormat="1" applyFill="1" applyBorder="1"/>
    <xf numFmtId="0" fontId="0" fillId="21" borderId="9" xfId="0" applyFill="1" applyBorder="1"/>
    <xf numFmtId="176" fontId="0" fillId="24" borderId="20" xfId="1" applyNumberFormat="1" applyFont="1" applyFill="1" applyBorder="1"/>
    <xf numFmtId="176" fontId="0" fillId="24" borderId="1" xfId="0" applyNumberFormat="1" applyFill="1" applyBorder="1"/>
    <xf numFmtId="176" fontId="0" fillId="24" borderId="3" xfId="0" applyNumberFormat="1" applyFill="1" applyBorder="1"/>
    <xf numFmtId="176" fontId="0" fillId="24" borderId="21" xfId="0" applyNumberFormat="1" applyFill="1" applyBorder="1"/>
    <xf numFmtId="176" fontId="0" fillId="24" borderId="9" xfId="0" applyNumberFormat="1" applyFill="1" applyBorder="1"/>
    <xf numFmtId="0" fontId="0" fillId="21" borderId="15" xfId="0" applyFill="1" applyBorder="1"/>
    <xf numFmtId="176" fontId="0" fillId="24" borderId="47" xfId="1" applyNumberFormat="1" applyFont="1" applyFill="1" applyBorder="1"/>
    <xf numFmtId="176" fontId="0" fillId="24" borderId="4" xfId="0" applyNumberFormat="1" applyFill="1" applyBorder="1"/>
    <xf numFmtId="176" fontId="0" fillId="24" borderId="51" xfId="0" applyNumberFormat="1" applyFill="1" applyBorder="1"/>
    <xf numFmtId="176" fontId="0" fillId="24" borderId="48" xfId="0" applyNumberFormat="1" applyFill="1" applyBorder="1"/>
    <xf numFmtId="176" fontId="0" fillId="24" borderId="15" xfId="0" applyNumberFormat="1" applyFill="1" applyBorder="1"/>
    <xf numFmtId="0" fontId="54" fillId="16" borderId="2" xfId="0" applyFont="1" applyFill="1" applyBorder="1"/>
    <xf numFmtId="176" fontId="0" fillId="16" borderId="32" xfId="1" applyNumberFormat="1" applyFont="1" applyFill="1" applyBorder="1"/>
    <xf numFmtId="176" fontId="0" fillId="16" borderId="32" xfId="0" applyNumberFormat="1" applyFill="1" applyBorder="1"/>
    <xf numFmtId="176" fontId="0" fillId="16" borderId="2" xfId="0" applyNumberFormat="1" applyFill="1" applyBorder="1"/>
    <xf numFmtId="165" fontId="0" fillId="11" borderId="0" xfId="1" applyNumberFormat="1" applyFont="1" applyFill="1"/>
    <xf numFmtId="3" fontId="0" fillId="11" borderId="0" xfId="0" applyNumberFormat="1" applyFill="1"/>
    <xf numFmtId="169" fontId="0" fillId="11" borderId="0" xfId="0" applyNumberFormat="1" applyFill="1"/>
    <xf numFmtId="0" fontId="54" fillId="13" borderId="2" xfId="0" applyFont="1" applyFill="1" applyBorder="1"/>
    <xf numFmtId="176" fontId="0" fillId="13" borderId="46" xfId="1" applyNumberFormat="1" applyFont="1" applyFill="1" applyBorder="1"/>
    <xf numFmtId="176" fontId="0" fillId="13" borderId="33" xfId="1" applyNumberFormat="1" applyFont="1" applyFill="1" applyBorder="1"/>
    <xf numFmtId="176" fontId="0" fillId="13" borderId="34" xfId="1" applyNumberFormat="1" applyFont="1" applyFill="1" applyBorder="1"/>
    <xf numFmtId="176" fontId="0" fillId="13" borderId="2" xfId="1" applyNumberFormat="1" applyFont="1" applyFill="1" applyBorder="1"/>
    <xf numFmtId="2" fontId="0" fillId="11" borderId="0" xfId="0" applyNumberFormat="1" applyFill="1"/>
    <xf numFmtId="0" fontId="0" fillId="18" borderId="75" xfId="0" applyFill="1" applyBorder="1"/>
    <xf numFmtId="165" fontId="0" fillId="0" borderId="42" xfId="1" applyNumberFormat="1" applyFont="1" applyFill="1" applyBorder="1"/>
    <xf numFmtId="165" fontId="0" fillId="0" borderId="42" xfId="1" applyNumberFormat="1" applyFont="1" applyBorder="1"/>
    <xf numFmtId="165" fontId="0" fillId="0" borderId="43" xfId="1" applyNumberFormat="1" applyFont="1" applyBorder="1"/>
    <xf numFmtId="0" fontId="0" fillId="18" borderId="31" xfId="0" applyFill="1" applyBorder="1"/>
    <xf numFmtId="2" fontId="0" fillId="0" borderId="5" xfId="0" applyNumberFormat="1" applyBorder="1"/>
    <xf numFmtId="2" fontId="0" fillId="0" borderId="11" xfId="0" applyNumberFormat="1" applyBorder="1"/>
    <xf numFmtId="2" fontId="0" fillId="0" borderId="12" xfId="0" applyNumberFormat="1" applyBorder="1"/>
    <xf numFmtId="2" fontId="0" fillId="0" borderId="0" xfId="0" applyNumberFormat="1"/>
    <xf numFmtId="0" fontId="56" fillId="25" borderId="0" xfId="0" applyFont="1" applyFill="1" applyAlignment="1">
      <alignment horizontal="center" vertical="center" wrapText="1"/>
    </xf>
    <xf numFmtId="0" fontId="0" fillId="14" borderId="0" xfId="0" applyFill="1"/>
    <xf numFmtId="0" fontId="0" fillId="15" borderId="0" xfId="0" applyFill="1"/>
    <xf numFmtId="0" fontId="0" fillId="11" borderId="0" xfId="0" applyFill="1"/>
    <xf numFmtId="0" fontId="2" fillId="0" borderId="1" xfId="3" applyBorder="1" applyAlignment="1">
      <alignment horizontal="center" vertical="center"/>
    </xf>
    <xf numFmtId="0" fontId="2" fillId="0" borderId="3" xfId="3" applyBorder="1" applyAlignment="1">
      <alignment horizontal="center"/>
    </xf>
    <xf numFmtId="0" fontId="2" fillId="0" borderId="0" xfId="3"/>
    <xf numFmtId="0" fontId="2" fillId="0" borderId="1" xfId="3" applyBorder="1" applyAlignment="1">
      <alignment horizontal="center"/>
    </xf>
    <xf numFmtId="2" fontId="2" fillId="0" borderId="1" xfId="3" applyNumberFormat="1" applyBorder="1" applyAlignment="1">
      <alignment horizontal="center" vertical="center"/>
    </xf>
    <xf numFmtId="0" fontId="2" fillId="0" borderId="1" xfId="3" applyBorder="1"/>
    <xf numFmtId="177" fontId="2" fillId="0" borderId="1" xfId="3" applyNumberFormat="1" applyBorder="1" applyAlignment="1">
      <alignment horizontal="center" vertical="center"/>
    </xf>
    <xf numFmtId="14" fontId="2" fillId="0" borderId="1" xfId="3" applyNumberFormat="1" applyBorder="1" applyAlignment="1">
      <alignment horizontal="center" vertical="center"/>
    </xf>
    <xf numFmtId="1" fontId="2" fillId="0" borderId="1" xfId="3" applyNumberFormat="1" applyBorder="1" applyAlignment="1">
      <alignment horizontal="center" vertical="center"/>
    </xf>
    <xf numFmtId="179" fontId="2" fillId="0" borderId="1" xfId="13" applyNumberFormat="1" applyBorder="1" applyAlignment="1" applyProtection="1">
      <alignment horizontal="center" vertical="center"/>
    </xf>
    <xf numFmtId="178" fontId="2" fillId="0" borderId="1" xfId="3" applyNumberFormat="1" applyBorder="1"/>
    <xf numFmtId="2" fontId="59" fillId="2" borderId="22" xfId="0" applyNumberFormat="1" applyFont="1" applyFill="1" applyBorder="1" applyAlignment="1">
      <alignment horizontal="center"/>
    </xf>
    <xf numFmtId="180" fontId="2" fillId="0" borderId="1" xfId="3" applyNumberFormat="1" applyBorder="1" applyAlignment="1">
      <alignment horizontal="center" vertical="center"/>
    </xf>
    <xf numFmtId="180" fontId="0" fillId="0" borderId="1" xfId="0" applyNumberFormat="1" applyBorder="1"/>
    <xf numFmtId="180" fontId="0" fillId="0" borderId="4" xfId="0" applyNumberFormat="1" applyBorder="1"/>
    <xf numFmtId="180" fontId="2" fillId="0" borderId="1" xfId="3" applyNumberFormat="1" applyBorder="1"/>
    <xf numFmtId="0" fontId="0" fillId="0" borderId="4" xfId="0" applyBorder="1"/>
    <xf numFmtId="0" fontId="65" fillId="0" borderId="0" xfId="0" applyFont="1" applyAlignment="1">
      <alignment horizontal="center" vertical="center"/>
    </xf>
    <xf numFmtId="0" fontId="71" fillId="0" borderId="0" xfId="0" applyFont="1" applyAlignment="1">
      <alignment horizontal="center" vertical="center"/>
    </xf>
    <xf numFmtId="0" fontId="54" fillId="0" borderId="32" xfId="0" applyFont="1" applyBorder="1" applyAlignment="1">
      <alignment horizontal="center" vertical="center" wrapText="1"/>
    </xf>
    <xf numFmtId="43" fontId="54" fillId="0" borderId="33" xfId="1" applyFont="1" applyBorder="1" applyAlignment="1">
      <alignment horizontal="center" vertical="center" wrapText="1"/>
    </xf>
    <xf numFmtId="0" fontId="54" fillId="0" borderId="34" xfId="0" applyFont="1" applyBorder="1" applyAlignment="1">
      <alignment horizontal="center" vertical="center"/>
    </xf>
    <xf numFmtId="0" fontId="54" fillId="0" borderId="0" xfId="0" applyFont="1" applyAlignment="1">
      <alignment horizontal="center" vertical="center"/>
    </xf>
    <xf numFmtId="1" fontId="0" fillId="0" borderId="72" xfId="0" applyNumberFormat="1" applyBorder="1" applyAlignment="1">
      <alignment horizontal="center" vertical="center"/>
    </xf>
    <xf numFmtId="1" fontId="0" fillId="0" borderId="72" xfId="0" applyNumberFormat="1" applyBorder="1" applyAlignment="1">
      <alignment horizontal="center"/>
    </xf>
    <xf numFmtId="44" fontId="1" fillId="0" borderId="72" xfId="12" applyFont="1" applyBorder="1"/>
    <xf numFmtId="2" fontId="0" fillId="0" borderId="72" xfId="0" applyNumberFormat="1" applyBorder="1" applyAlignment="1">
      <alignment horizontal="center" vertical="center"/>
    </xf>
    <xf numFmtId="165" fontId="54" fillId="0" borderId="0" xfId="1" applyNumberFormat="1" applyFont="1" applyAlignment="1">
      <alignment horizontal="center" vertical="center"/>
    </xf>
    <xf numFmtId="1" fontId="0" fillId="0" borderId="1" xfId="0" applyNumberFormat="1" applyBorder="1" applyAlignment="1">
      <alignment horizontal="center" vertical="center"/>
    </xf>
    <xf numFmtId="1" fontId="0" fillId="0" borderId="1" xfId="0" applyNumberFormat="1" applyBorder="1" applyAlignment="1">
      <alignment horizontal="center"/>
    </xf>
    <xf numFmtId="44" fontId="1" fillId="0" borderId="1" xfId="12" applyFont="1" applyBorder="1"/>
    <xf numFmtId="2" fontId="0" fillId="0" borderId="1" xfId="0" applyNumberFormat="1" applyBorder="1" applyAlignment="1">
      <alignment horizontal="center" vertical="center"/>
    </xf>
    <xf numFmtId="44" fontId="1" fillId="0" borderId="1" xfId="12" applyFont="1" applyFill="1" applyBorder="1" applyAlignment="1">
      <alignment horizontal="center" vertical="center"/>
    </xf>
    <xf numFmtId="43" fontId="1" fillId="0" borderId="0" xfId="1" applyFont="1" applyAlignment="1">
      <alignment horizontal="center" vertical="center"/>
    </xf>
    <xf numFmtId="0" fontId="0" fillId="0" borderId="4" xfId="0" applyBorder="1" applyAlignment="1">
      <alignment horizontal="center" vertical="center"/>
    </xf>
    <xf numFmtId="1" fontId="0" fillId="0" borderId="4" xfId="0" applyNumberFormat="1" applyBorder="1" applyAlignment="1">
      <alignment horizontal="center" vertical="center"/>
    </xf>
    <xf numFmtId="44" fontId="1" fillId="0" borderId="4" xfId="12" applyFont="1" applyFill="1" applyBorder="1" applyAlignment="1">
      <alignment horizontal="center" vertical="center"/>
    </xf>
    <xf numFmtId="2" fontId="0" fillId="0" borderId="4" xfId="0" applyNumberFormat="1" applyBorder="1" applyAlignment="1">
      <alignment horizontal="center" vertical="center"/>
    </xf>
    <xf numFmtId="1" fontId="0" fillId="0" borderId="0" xfId="0" applyNumberFormat="1" applyAlignment="1">
      <alignment horizontal="center" vertical="center"/>
    </xf>
    <xf numFmtId="44" fontId="1" fillId="0" borderId="0" xfId="12" applyFont="1" applyBorder="1"/>
    <xf numFmtId="2" fontId="0" fillId="0" borderId="0" xfId="0" applyNumberFormat="1" applyAlignment="1">
      <alignment horizontal="center" vertical="center"/>
    </xf>
    <xf numFmtId="2" fontId="54" fillId="0" borderId="1" xfId="0" applyNumberFormat="1" applyFont="1" applyBorder="1" applyAlignment="1">
      <alignment horizontal="center" vertical="center"/>
    </xf>
    <xf numFmtId="44" fontId="1" fillId="0" borderId="72" xfId="12" applyFont="1" applyFill="1" applyBorder="1" applyAlignment="1">
      <alignment horizontal="center" vertical="center"/>
    </xf>
    <xf numFmtId="0" fontId="0" fillId="0" borderId="51" xfId="0" applyBorder="1" applyAlignment="1">
      <alignment horizontal="center" vertical="center"/>
    </xf>
    <xf numFmtId="1" fontId="0" fillId="0" borderId="85" xfId="0" applyNumberFormat="1" applyBorder="1" applyAlignment="1">
      <alignment horizontal="center" vertical="center"/>
    </xf>
    <xf numFmtId="44" fontId="1" fillId="0" borderId="85" xfId="12" applyFont="1" applyFill="1" applyBorder="1" applyAlignment="1">
      <alignment horizontal="center" vertical="center"/>
    </xf>
    <xf numFmtId="2" fontId="0" fillId="0" borderId="85" xfId="0" applyNumberFormat="1" applyBorder="1" applyAlignment="1">
      <alignment horizontal="center" vertical="center"/>
    </xf>
    <xf numFmtId="0" fontId="0" fillId="0" borderId="85" xfId="0" applyBorder="1" applyAlignment="1">
      <alignment horizontal="center" vertical="center"/>
    </xf>
    <xf numFmtId="2" fontId="0" fillId="0" borderId="37" xfId="0" applyNumberFormat="1" applyBorder="1" applyAlignment="1">
      <alignment horizontal="center" vertical="center"/>
    </xf>
    <xf numFmtId="2" fontId="54" fillId="0" borderId="37" xfId="0" applyNumberFormat="1" applyFont="1" applyBorder="1" applyAlignment="1">
      <alignment horizontal="center" vertical="center"/>
    </xf>
    <xf numFmtId="0" fontId="0" fillId="0" borderId="17" xfId="0" applyBorder="1" applyAlignment="1">
      <alignment horizontal="center" vertical="center"/>
    </xf>
    <xf numFmtId="1" fontId="0" fillId="0" borderId="18" xfId="0" applyNumberFormat="1" applyBorder="1" applyAlignment="1">
      <alignment horizontal="center" vertical="center"/>
    </xf>
    <xf numFmtId="44" fontId="1" fillId="0" borderId="18" xfId="12" applyFont="1" applyFill="1" applyBorder="1" applyAlignment="1">
      <alignment horizontal="center" vertical="center"/>
    </xf>
    <xf numFmtId="2" fontId="0" fillId="0" borderId="18" xfId="0" applyNumberFormat="1" applyBorder="1" applyAlignment="1">
      <alignment horizontal="center" vertical="center"/>
    </xf>
    <xf numFmtId="2" fontId="0" fillId="0" borderId="19" xfId="0" applyNumberFormat="1" applyBorder="1" applyAlignment="1">
      <alignment horizontal="center" vertical="center"/>
    </xf>
    <xf numFmtId="2" fontId="54" fillId="0" borderId="0" xfId="0" applyNumberFormat="1" applyFont="1" applyAlignment="1">
      <alignment horizontal="center" vertical="center"/>
    </xf>
    <xf numFmtId="0" fontId="0" fillId="0" borderId="20" xfId="0" applyBorder="1" applyAlignment="1">
      <alignment horizontal="center" vertical="center"/>
    </xf>
    <xf numFmtId="2" fontId="0" fillId="0" borderId="21" xfId="0" applyNumberFormat="1" applyBorder="1" applyAlignment="1">
      <alignment horizontal="center" vertical="center"/>
    </xf>
    <xf numFmtId="44" fontId="1" fillId="0" borderId="1" xfId="12" applyFont="1" applyBorder="1" applyAlignment="1">
      <alignment horizontal="center" vertical="center"/>
    </xf>
    <xf numFmtId="0" fontId="0" fillId="0" borderId="22" xfId="0" applyBorder="1" applyAlignment="1">
      <alignment horizontal="center" vertical="center"/>
    </xf>
    <xf numFmtId="1" fontId="0" fillId="0" borderId="23" xfId="0" applyNumberFormat="1" applyBorder="1" applyAlignment="1">
      <alignment horizontal="center" vertical="center"/>
    </xf>
    <xf numFmtId="44" fontId="1" fillId="0" borderId="23" xfId="12" applyFont="1" applyFill="1" applyBorder="1" applyAlignment="1">
      <alignment horizontal="center" vertical="center"/>
    </xf>
    <xf numFmtId="2" fontId="0" fillId="0" borderId="23" xfId="0" applyNumberFormat="1" applyBorder="1" applyAlignment="1">
      <alignment horizontal="center" vertical="center"/>
    </xf>
    <xf numFmtId="44" fontId="1" fillId="0" borderId="23" xfId="12" applyFont="1" applyBorder="1" applyAlignment="1">
      <alignment horizontal="center" vertical="center"/>
    </xf>
    <xf numFmtId="2" fontId="0" fillId="0" borderId="24" xfId="0" applyNumberFormat="1" applyBorder="1" applyAlignment="1">
      <alignment horizontal="center" vertical="center"/>
    </xf>
    <xf numFmtId="0" fontId="0" fillId="0" borderId="75" xfId="0" applyBorder="1" applyAlignment="1">
      <alignment horizontal="center" vertical="center"/>
    </xf>
    <xf numFmtId="1" fontId="0" fillId="0" borderId="76" xfId="0" applyNumberFormat="1" applyBorder="1" applyAlignment="1">
      <alignment horizontal="center" vertical="center"/>
    </xf>
    <xf numFmtId="44" fontId="1" fillId="0" borderId="76" xfId="12" applyFont="1" applyFill="1" applyBorder="1" applyAlignment="1">
      <alignment horizontal="center" vertical="center"/>
    </xf>
    <xf numFmtId="2" fontId="0" fillId="0" borderId="76" xfId="0" applyNumberFormat="1" applyBorder="1" applyAlignment="1">
      <alignment horizontal="center" vertical="center"/>
    </xf>
    <xf numFmtId="0" fontId="0" fillId="0" borderId="76" xfId="0" applyBorder="1" applyAlignment="1">
      <alignment horizontal="center" vertical="center"/>
    </xf>
    <xf numFmtId="44" fontId="1" fillId="0" borderId="76" xfId="12" applyFont="1" applyBorder="1" applyAlignment="1">
      <alignment horizontal="center" vertical="center"/>
    </xf>
    <xf numFmtId="2" fontId="0" fillId="0" borderId="77" xfId="0" applyNumberFormat="1" applyBorder="1" applyAlignment="1">
      <alignment horizontal="center" vertical="center"/>
    </xf>
    <xf numFmtId="165" fontId="54" fillId="0" borderId="0" xfId="1" applyNumberFormat="1" applyFont="1"/>
    <xf numFmtId="0" fontId="71" fillId="0" borderId="1" xfId="0" applyFont="1" applyBorder="1" applyAlignment="1">
      <alignment horizontal="center" vertical="center"/>
    </xf>
    <xf numFmtId="0" fontId="54" fillId="0" borderId="1" xfId="0" applyFont="1" applyBorder="1" applyAlignment="1">
      <alignment horizontal="center" vertical="center" wrapText="1"/>
    </xf>
    <xf numFmtId="0" fontId="54" fillId="0" borderId="1" xfId="0" applyFont="1" applyBorder="1" applyAlignment="1">
      <alignment horizontal="center" vertical="center"/>
    </xf>
    <xf numFmtId="43" fontId="54" fillId="0" borderId="1" xfId="1" applyFont="1" applyBorder="1" applyAlignment="1">
      <alignment horizontal="center" vertical="center" wrapText="1"/>
    </xf>
    <xf numFmtId="0" fontId="0" fillId="0" borderId="1" xfId="0" quotePrefix="1" applyBorder="1" applyAlignment="1">
      <alignment horizontal="center" vertical="center"/>
    </xf>
    <xf numFmtId="43" fontId="1" fillId="0" borderId="1" xfId="1" applyFont="1" applyBorder="1" applyAlignment="1">
      <alignment horizontal="center" vertical="center"/>
    </xf>
    <xf numFmtId="166" fontId="0" fillId="0" borderId="1" xfId="0" applyNumberFormat="1" applyBorder="1" applyAlignment="1">
      <alignment horizontal="center" vertical="center"/>
    </xf>
    <xf numFmtId="165" fontId="54" fillId="0" borderId="0" xfId="0" applyNumberFormat="1" applyFont="1" applyAlignment="1">
      <alignment horizontal="center" vertical="center"/>
    </xf>
    <xf numFmtId="1" fontId="1" fillId="0" borderId="1" xfId="1" applyNumberFormat="1" applyFont="1" applyFill="1" applyBorder="1" applyAlignment="1">
      <alignment horizontal="center" vertical="center"/>
    </xf>
    <xf numFmtId="44" fontId="1" fillId="0" borderId="1" xfId="12" applyFont="1" applyFill="1" applyBorder="1"/>
    <xf numFmtId="44" fontId="1" fillId="0" borderId="4" xfId="12" applyFont="1" applyFill="1" applyBorder="1"/>
    <xf numFmtId="1" fontId="1" fillId="0" borderId="4" xfId="1" applyNumberFormat="1" applyFont="1" applyFill="1" applyBorder="1" applyAlignment="1">
      <alignment horizontal="center" vertical="center"/>
    </xf>
    <xf numFmtId="43" fontId="1" fillId="0" borderId="4" xfId="1" applyFont="1" applyBorder="1" applyAlignment="1">
      <alignment horizontal="center" vertical="center"/>
    </xf>
    <xf numFmtId="0" fontId="0" fillId="0" borderId="84" xfId="0" applyBorder="1" applyAlignment="1">
      <alignment horizontal="center" vertical="center"/>
    </xf>
    <xf numFmtId="1" fontId="0" fillId="0" borderId="84" xfId="0" applyNumberFormat="1" applyBorder="1" applyAlignment="1">
      <alignment horizontal="center" vertical="center"/>
    </xf>
    <xf numFmtId="44" fontId="1" fillId="0" borderId="84" xfId="12" applyFont="1" applyFill="1" applyBorder="1"/>
    <xf numFmtId="2" fontId="0" fillId="0" borderId="84" xfId="0" applyNumberFormat="1" applyBorder="1" applyAlignment="1">
      <alignment horizontal="center" vertical="center"/>
    </xf>
    <xf numFmtId="1" fontId="1" fillId="0" borderId="84" xfId="1" applyNumberFormat="1" applyFont="1" applyFill="1" applyBorder="1" applyAlignment="1">
      <alignment horizontal="center" vertical="center"/>
    </xf>
    <xf numFmtId="44" fontId="1" fillId="0" borderId="84" xfId="12" applyFont="1" applyFill="1" applyBorder="1" applyAlignment="1">
      <alignment horizontal="center" vertical="center"/>
    </xf>
    <xf numFmtId="2" fontId="0" fillId="0" borderId="13" xfId="0" applyNumberFormat="1" applyBorder="1" applyAlignment="1">
      <alignment horizontal="center" vertical="center"/>
    </xf>
    <xf numFmtId="43" fontId="54" fillId="0" borderId="37" xfId="1" applyFont="1" applyBorder="1" applyAlignment="1">
      <alignment horizontal="center" vertical="center"/>
    </xf>
    <xf numFmtId="166" fontId="54" fillId="0" borderId="1" xfId="0" applyNumberFormat="1" applyFont="1" applyBorder="1" applyAlignment="1">
      <alignment horizontal="center" vertical="center"/>
    </xf>
    <xf numFmtId="44" fontId="1" fillId="0" borderId="72" xfId="12" applyFont="1" applyFill="1" applyBorder="1"/>
    <xf numFmtId="1" fontId="1" fillId="0" borderId="72" xfId="1" applyNumberFormat="1" applyFont="1" applyFill="1" applyBorder="1" applyAlignment="1">
      <alignment horizontal="center" vertical="center"/>
    </xf>
    <xf numFmtId="166" fontId="1" fillId="0" borderId="0" xfId="1" applyNumberFormat="1" applyFont="1" applyAlignment="1">
      <alignment horizontal="center" vertical="center"/>
    </xf>
    <xf numFmtId="1" fontId="0" fillId="0" borderId="1" xfId="0" quotePrefix="1" applyNumberFormat="1" applyBorder="1" applyAlignment="1">
      <alignment horizontal="center" vertical="center"/>
    </xf>
    <xf numFmtId="43" fontId="54" fillId="0" borderId="13" xfId="1" applyFont="1" applyBorder="1" applyAlignment="1">
      <alignment horizontal="center" vertical="center"/>
    </xf>
    <xf numFmtId="166" fontId="54" fillId="0" borderId="0" xfId="1" applyNumberFormat="1" applyFont="1" applyAlignment="1">
      <alignment horizontal="center" vertical="center"/>
    </xf>
    <xf numFmtId="165" fontId="54" fillId="0" borderId="0" xfId="0" applyNumberFormat="1" applyFont="1"/>
    <xf numFmtId="44" fontId="1" fillId="0" borderId="4" xfId="12" applyFont="1" applyBorder="1" applyAlignment="1">
      <alignment horizontal="center" vertical="center"/>
    </xf>
    <xf numFmtId="166" fontId="0" fillId="0" borderId="4" xfId="0" applyNumberFormat="1" applyBorder="1" applyAlignment="1">
      <alignment horizontal="center" vertical="center"/>
    </xf>
    <xf numFmtId="1" fontId="54" fillId="0" borderId="0" xfId="0" applyNumberFormat="1" applyFont="1" applyAlignment="1">
      <alignment horizontal="center" vertical="center"/>
    </xf>
    <xf numFmtId="165" fontId="54" fillId="0" borderId="40" xfId="1" applyNumberFormat="1" applyFont="1" applyFill="1" applyBorder="1" applyAlignment="1">
      <alignment horizontal="center" vertical="center" wrapText="1"/>
    </xf>
    <xf numFmtId="43" fontId="54" fillId="0" borderId="40" xfId="1" applyFont="1" applyFill="1" applyBorder="1" applyAlignment="1">
      <alignment vertical="center" wrapText="1"/>
    </xf>
    <xf numFmtId="43" fontId="54" fillId="0" borderId="40" xfId="1" applyFont="1" applyFill="1" applyBorder="1" applyAlignment="1">
      <alignment horizontal="center" vertical="center" wrapText="1"/>
    </xf>
    <xf numFmtId="169" fontId="0" fillId="0" borderId="1" xfId="0" applyNumberFormat="1" applyBorder="1" applyAlignment="1">
      <alignment horizontal="center" vertical="center"/>
    </xf>
    <xf numFmtId="43" fontId="54" fillId="0" borderId="0" xfId="0" applyNumberFormat="1" applyFont="1"/>
    <xf numFmtId="0" fontId="0" fillId="0" borderId="86" xfId="0" applyBorder="1" applyAlignment="1">
      <alignment horizontal="center" vertical="center"/>
    </xf>
    <xf numFmtId="1" fontId="0" fillId="0" borderId="87" xfId="0" applyNumberFormat="1" applyBorder="1" applyAlignment="1">
      <alignment horizontal="center" vertical="center"/>
    </xf>
    <xf numFmtId="44" fontId="1" fillId="0" borderId="87" xfId="12" applyFont="1" applyFill="1" applyBorder="1" applyAlignment="1">
      <alignment horizontal="center" vertical="center"/>
    </xf>
    <xf numFmtId="169" fontId="0" fillId="0" borderId="87" xfId="0" applyNumberFormat="1" applyBorder="1" applyAlignment="1">
      <alignment horizontal="center" vertical="center"/>
    </xf>
    <xf numFmtId="0" fontId="0" fillId="0" borderId="87" xfId="0" applyBorder="1" applyAlignment="1">
      <alignment horizontal="center" vertical="center"/>
    </xf>
    <xf numFmtId="2" fontId="0" fillId="0" borderId="87" xfId="0" applyNumberFormat="1" applyBorder="1" applyAlignment="1">
      <alignment horizontal="center" vertical="center"/>
    </xf>
    <xf numFmtId="169" fontId="0" fillId="0" borderId="40" xfId="0" applyNumberFormat="1" applyBorder="1" applyAlignment="1">
      <alignment horizontal="center" vertical="center"/>
    </xf>
    <xf numFmtId="165" fontId="63" fillId="0" borderId="1" xfId="1" applyNumberFormat="1" applyFont="1" applyBorder="1" applyAlignment="1">
      <alignment horizontal="center" vertical="center"/>
    </xf>
    <xf numFmtId="181" fontId="63" fillId="0" borderId="1" xfId="12" applyNumberFormat="1" applyFont="1" applyBorder="1" applyAlignment="1">
      <alignment horizontal="center" vertical="center"/>
    </xf>
    <xf numFmtId="0" fontId="54" fillId="0" borderId="0" xfId="0" applyFont="1" applyAlignment="1">
      <alignment horizontal="center"/>
    </xf>
    <xf numFmtId="165" fontId="63" fillId="0" borderId="18" xfId="1" applyNumberFormat="1" applyFont="1" applyBorder="1" applyAlignment="1">
      <alignment horizontal="center" vertical="center"/>
    </xf>
    <xf numFmtId="181" fontId="63" fillId="0" borderId="18" xfId="12" applyNumberFormat="1" applyFont="1" applyBorder="1" applyAlignment="1">
      <alignment horizontal="center" vertical="center"/>
    </xf>
    <xf numFmtId="165" fontId="63" fillId="0" borderId="23" xfId="1" applyNumberFormat="1" applyFont="1" applyBorder="1" applyAlignment="1">
      <alignment horizontal="center" vertical="center"/>
    </xf>
    <xf numFmtId="181" fontId="63" fillId="0" borderId="23" xfId="12" applyNumberFormat="1" applyFont="1" applyBorder="1" applyAlignment="1">
      <alignment horizontal="center" vertical="center"/>
    </xf>
    <xf numFmtId="0" fontId="0" fillId="17" borderId="0" xfId="0" applyFill="1"/>
    <xf numFmtId="0" fontId="0" fillId="18" borderId="0" xfId="0" applyFill="1"/>
    <xf numFmtId="0" fontId="0" fillId="0" borderId="55" xfId="0" applyBorder="1" applyAlignment="1">
      <alignment horizontal="center" vertical="center"/>
    </xf>
    <xf numFmtId="0" fontId="0" fillId="0" borderId="69" xfId="0" applyBorder="1" applyAlignment="1">
      <alignment horizontal="center" vertical="center"/>
    </xf>
    <xf numFmtId="0" fontId="0" fillId="0" borderId="2" xfId="0" applyBorder="1" applyAlignment="1">
      <alignment horizontal="center" vertical="center"/>
    </xf>
    <xf numFmtId="0" fontId="0" fillId="0" borderId="17" xfId="0" applyBorder="1"/>
    <xf numFmtId="177" fontId="0" fillId="0" borderId="18" xfId="0" applyNumberFormat="1" applyBorder="1"/>
    <xf numFmtId="0" fontId="0" fillId="0" borderId="25" xfId="0" applyBorder="1"/>
    <xf numFmtId="0" fontId="0" fillId="0" borderId="20" xfId="0" applyBorder="1"/>
    <xf numFmtId="177" fontId="0" fillId="0" borderId="72" xfId="0" applyNumberFormat="1" applyBorder="1"/>
    <xf numFmtId="0" fontId="0" fillId="0" borderId="3" xfId="0" applyBorder="1"/>
    <xf numFmtId="0" fontId="0" fillId="0" borderId="81" xfId="0" applyBorder="1"/>
    <xf numFmtId="0" fontId="0" fillId="0" borderId="22" xfId="0" applyBorder="1"/>
    <xf numFmtId="177" fontId="0" fillId="0" borderId="56" xfId="0" applyNumberFormat="1" applyBorder="1"/>
    <xf numFmtId="0" fontId="0" fillId="0" borderId="26" xfId="0" applyBorder="1"/>
    <xf numFmtId="165" fontId="0" fillId="0" borderId="15" xfId="1" applyNumberFormat="1" applyFont="1" applyBorder="1"/>
    <xf numFmtId="0" fontId="0" fillId="12" borderId="0" xfId="0" applyFill="1"/>
    <xf numFmtId="0" fontId="3" fillId="0" borderId="0" xfId="5"/>
    <xf numFmtId="177" fontId="0" fillId="0" borderId="76" xfId="0" applyNumberFormat="1" applyBorder="1"/>
    <xf numFmtId="0" fontId="0" fillId="0" borderId="76" xfId="0" applyBorder="1"/>
    <xf numFmtId="177" fontId="0" fillId="0" borderId="1" xfId="0" applyNumberFormat="1" applyBorder="1"/>
    <xf numFmtId="0" fontId="0" fillId="0" borderId="55" xfId="0" applyBorder="1"/>
    <xf numFmtId="177" fontId="0" fillId="0" borderId="23" xfId="0" applyNumberFormat="1" applyBorder="1"/>
    <xf numFmtId="0" fontId="0" fillId="0" borderId="56" xfId="0" applyBorder="1"/>
    <xf numFmtId="0" fontId="0" fillId="0" borderId="47" xfId="0" applyBorder="1"/>
    <xf numFmtId="177" fontId="0" fillId="0" borderId="4" xfId="0" applyNumberFormat="1" applyBorder="1"/>
    <xf numFmtId="0" fontId="0" fillId="0" borderId="51" xfId="0" applyBorder="1"/>
    <xf numFmtId="0" fontId="0" fillId="0" borderId="15" xfId="0" applyBorder="1"/>
    <xf numFmtId="165" fontId="0" fillId="0" borderId="19" xfId="1" applyNumberFormat="1" applyFont="1" applyBorder="1"/>
    <xf numFmtId="165" fontId="0" fillId="0" borderId="21" xfId="1" applyNumberFormat="1" applyFont="1" applyBorder="1"/>
    <xf numFmtId="165" fontId="0" fillId="0" borderId="24" xfId="1" applyNumberFormat="1" applyFont="1" applyBorder="1"/>
    <xf numFmtId="0" fontId="72" fillId="0" borderId="1" xfId="0" applyFont="1" applyBorder="1"/>
    <xf numFmtId="0" fontId="0" fillId="0" borderId="72" xfId="0" applyBorder="1"/>
    <xf numFmtId="165" fontId="0" fillId="0" borderId="1" xfId="1" applyNumberFormat="1" applyFont="1" applyBorder="1"/>
    <xf numFmtId="165" fontId="0" fillId="0" borderId="64" xfId="1" applyNumberFormat="1" applyFont="1" applyBorder="1"/>
    <xf numFmtId="0" fontId="0" fillId="0" borderId="6" xfId="0" applyBorder="1" applyAlignment="1">
      <alignment horizontal="center" vertical="center"/>
    </xf>
    <xf numFmtId="0" fontId="56" fillId="27" borderId="2" xfId="0" applyFont="1" applyFill="1" applyBorder="1" applyAlignment="1">
      <alignment horizontal="center"/>
    </xf>
    <xf numFmtId="0" fontId="56" fillId="27" borderId="5" xfId="0" applyFont="1" applyFill="1" applyBorder="1"/>
    <xf numFmtId="0" fontId="56" fillId="27" borderId="2" xfId="0" applyFont="1" applyFill="1" applyBorder="1"/>
    <xf numFmtId="0" fontId="56" fillId="27" borderId="12" xfId="0" applyFont="1" applyFill="1" applyBorder="1"/>
    <xf numFmtId="165" fontId="73" fillId="0" borderId="81" xfId="1" applyNumberFormat="1" applyFont="1" applyBorder="1" applyAlignment="1">
      <alignment vertical="top"/>
    </xf>
    <xf numFmtId="165" fontId="0" fillId="0" borderId="72" xfId="1" applyNumberFormat="1" applyFont="1" applyBorder="1"/>
    <xf numFmtId="182" fontId="0" fillId="0" borderId="64" xfId="1" applyNumberFormat="1" applyFont="1" applyBorder="1"/>
    <xf numFmtId="165" fontId="73" fillId="0" borderId="20" xfId="1" applyNumberFormat="1" applyFont="1" applyBorder="1" applyAlignment="1">
      <alignment vertical="top"/>
    </xf>
    <xf numFmtId="165" fontId="73" fillId="0" borderId="20" xfId="1" applyNumberFormat="1" applyFont="1" applyBorder="1"/>
    <xf numFmtId="165" fontId="73" fillId="0" borderId="22" xfId="1" applyNumberFormat="1" applyFont="1" applyBorder="1"/>
    <xf numFmtId="165" fontId="0" fillId="0" borderId="56" xfId="1" applyNumberFormat="1" applyFont="1" applyBorder="1"/>
    <xf numFmtId="182" fontId="0" fillId="0" borderId="57" xfId="1" applyNumberFormat="1" applyFont="1" applyBorder="1"/>
    <xf numFmtId="0" fontId="56" fillId="28" borderId="1" xfId="0" applyFont="1" applyFill="1" applyBorder="1"/>
    <xf numFmtId="0" fontId="56" fillId="28" borderId="41" xfId="0" applyFont="1" applyFill="1" applyBorder="1"/>
    <xf numFmtId="0" fontId="0" fillId="0" borderId="42" xfId="0" applyBorder="1"/>
    <xf numFmtId="0" fontId="0" fillId="0" borderId="43" xfId="0" applyBorder="1"/>
    <xf numFmtId="0" fontId="56" fillId="28" borderId="73" xfId="0" applyFont="1" applyFill="1" applyBorder="1"/>
    <xf numFmtId="0" fontId="56" fillId="28" borderId="0" xfId="0" applyFont="1" applyFill="1"/>
    <xf numFmtId="0" fontId="0" fillId="0" borderId="83" xfId="0" applyBorder="1"/>
    <xf numFmtId="0" fontId="56" fillId="28" borderId="20" xfId="0" applyFont="1" applyFill="1" applyBorder="1"/>
    <xf numFmtId="165" fontId="0" fillId="0" borderId="0" xfId="1" applyNumberFormat="1" applyFont="1" applyBorder="1"/>
    <xf numFmtId="165" fontId="0" fillId="0" borderId="83" xfId="1" applyNumberFormat="1" applyFont="1" applyBorder="1"/>
    <xf numFmtId="0" fontId="0" fillId="0" borderId="73" xfId="0" applyBorder="1"/>
    <xf numFmtId="0" fontId="0" fillId="0" borderId="31" xfId="0" applyBorder="1"/>
    <xf numFmtId="2" fontId="0" fillId="0" borderId="16" xfId="0" applyNumberFormat="1" applyBorder="1"/>
    <xf numFmtId="0" fontId="0" fillId="0" borderId="16" xfId="0" applyBorder="1"/>
    <xf numFmtId="0" fontId="0" fillId="0" borderId="44" xfId="0" applyBorder="1"/>
    <xf numFmtId="1" fontId="0" fillId="0" borderId="83" xfId="0" applyNumberFormat="1" applyBorder="1"/>
    <xf numFmtId="0" fontId="0" fillId="13" borderId="2" xfId="0" applyFill="1" applyBorder="1" applyAlignment="1">
      <alignment horizontal="center" vertical="center"/>
    </xf>
    <xf numFmtId="0" fontId="80" fillId="0" borderId="1" xfId="0" quotePrefix="1" applyFont="1" applyBorder="1" applyAlignment="1">
      <alignment vertical="center"/>
    </xf>
    <xf numFmtId="0" fontId="80" fillId="0" borderId="1" xfId="0" quotePrefix="1" applyFont="1" applyBorder="1" applyAlignment="1">
      <alignment horizontal="center" vertical="center"/>
    </xf>
    <xf numFmtId="0" fontId="80" fillId="2" borderId="1" xfId="0" quotePrefix="1" applyFont="1" applyFill="1" applyBorder="1" applyAlignment="1">
      <alignment vertical="center"/>
    </xf>
    <xf numFmtId="0" fontId="80" fillId="2" borderId="1" xfId="0" quotePrefix="1" applyFont="1" applyFill="1" applyBorder="1" applyAlignment="1">
      <alignment horizontal="center" vertical="center"/>
    </xf>
    <xf numFmtId="0" fontId="80" fillId="2" borderId="4" xfId="0" quotePrefix="1" applyFont="1" applyFill="1" applyBorder="1" applyAlignment="1">
      <alignment vertical="center"/>
    </xf>
    <xf numFmtId="0" fontId="80" fillId="2" borderId="4" xfId="0" quotePrefix="1" applyFont="1" applyFill="1" applyBorder="1" applyAlignment="1">
      <alignment horizontal="center" vertical="center"/>
    </xf>
    <xf numFmtId="0" fontId="82" fillId="2" borderId="32" xfId="0" quotePrefix="1" applyFont="1" applyFill="1" applyBorder="1" applyAlignment="1">
      <alignment horizontal="right" vertical="center"/>
    </xf>
    <xf numFmtId="0" fontId="82" fillId="2" borderId="34" xfId="0" quotePrefix="1" applyFont="1" applyFill="1" applyBorder="1" applyAlignment="1">
      <alignment horizontal="center" vertical="center"/>
    </xf>
    <xf numFmtId="0" fontId="83" fillId="0" borderId="72" xfId="0" quotePrefix="1" applyFont="1" applyBorder="1" applyAlignment="1">
      <alignment vertical="center"/>
    </xf>
    <xf numFmtId="0" fontId="83" fillId="0" borderId="72" xfId="0" quotePrefix="1" applyFont="1" applyBorder="1" applyAlignment="1">
      <alignment horizontal="center" vertical="center"/>
    </xf>
    <xf numFmtId="0" fontId="83" fillId="0" borderId="1" xfId="0" quotePrefix="1" applyFont="1" applyBorder="1" applyAlignment="1">
      <alignment vertical="center"/>
    </xf>
    <xf numFmtId="0" fontId="83" fillId="0" borderId="1" xfId="0" quotePrefix="1" applyFont="1" applyBorder="1" applyAlignment="1">
      <alignment horizontal="center" vertical="center"/>
    </xf>
    <xf numFmtId="0" fontId="83" fillId="0" borderId="4" xfId="0" quotePrefix="1" applyFont="1" applyBorder="1" applyAlignment="1">
      <alignment vertical="center"/>
    </xf>
    <xf numFmtId="0" fontId="83" fillId="0" borderId="4" xfId="0" quotePrefix="1" applyFont="1" applyBorder="1" applyAlignment="1">
      <alignment horizontal="center" vertical="center"/>
    </xf>
    <xf numFmtId="0" fontId="82" fillId="0" borderId="19" xfId="0" quotePrefix="1" applyFont="1" applyBorder="1" applyAlignment="1">
      <alignment horizontal="center" vertical="center"/>
    </xf>
    <xf numFmtId="0" fontId="82" fillId="0" borderId="24" xfId="0" quotePrefix="1" applyFont="1" applyBorder="1" applyAlignment="1">
      <alignment horizontal="center" vertical="center"/>
    </xf>
    <xf numFmtId="0" fontId="80" fillId="2" borderId="72" xfId="0" quotePrefix="1" applyFont="1" applyFill="1" applyBorder="1" applyAlignment="1">
      <alignment horizontal="center" vertical="center"/>
    </xf>
    <xf numFmtId="0" fontId="80" fillId="0" borderId="4" xfId="0" quotePrefix="1" applyFont="1" applyBorder="1" applyAlignment="1">
      <alignment horizontal="center" vertical="center"/>
    </xf>
    <xf numFmtId="0" fontId="81" fillId="0" borderId="32" xfId="0" quotePrefix="1" applyFont="1" applyBorder="1" applyAlignment="1">
      <alignment horizontal="right" vertical="center"/>
    </xf>
    <xf numFmtId="0" fontId="81" fillId="0" borderId="34" xfId="0" quotePrefix="1" applyFont="1" applyBorder="1" applyAlignment="1">
      <alignment horizontal="center" vertical="center"/>
    </xf>
    <xf numFmtId="0" fontId="80" fillId="2" borderId="32" xfId="0" quotePrefix="1" applyFont="1" applyFill="1" applyBorder="1" applyAlignment="1">
      <alignment vertical="center"/>
    </xf>
    <xf numFmtId="0" fontId="80" fillId="2" borderId="34" xfId="0" quotePrefix="1" applyFont="1" applyFill="1" applyBorder="1" applyAlignment="1">
      <alignment horizontal="center" vertical="center"/>
    </xf>
    <xf numFmtId="0" fontId="84" fillId="2" borderId="72" xfId="0" applyFont="1" applyFill="1" applyBorder="1"/>
    <xf numFmtId="0" fontId="82" fillId="2" borderId="4" xfId="0" quotePrefix="1" applyFont="1" applyFill="1" applyBorder="1" applyAlignment="1">
      <alignment horizontal="center" vertical="center"/>
    </xf>
    <xf numFmtId="0" fontId="82" fillId="0" borderId="34" xfId="0" quotePrefix="1" applyFont="1" applyBorder="1" applyAlignment="1">
      <alignment horizontal="center" vertical="center"/>
    </xf>
    <xf numFmtId="0" fontId="71" fillId="0" borderId="72" xfId="0" applyFont="1" applyBorder="1" applyAlignment="1">
      <alignment horizontal="center" vertical="center"/>
    </xf>
    <xf numFmtId="0" fontId="84" fillId="0" borderId="72" xfId="0" applyFont="1" applyBorder="1" applyAlignment="1">
      <alignment horizontal="center"/>
    </xf>
    <xf numFmtId="0" fontId="84" fillId="0" borderId="1" xfId="0" applyFont="1" applyBorder="1" applyAlignment="1">
      <alignment horizontal="center"/>
    </xf>
    <xf numFmtId="182" fontId="0" fillId="0" borderId="0" xfId="1" applyNumberFormat="1" applyFont="1"/>
    <xf numFmtId="43" fontId="0" fillId="0" borderId="0" xfId="0" applyNumberFormat="1"/>
    <xf numFmtId="177" fontId="78" fillId="32" borderId="17" xfId="0" applyNumberFormat="1" applyFont="1" applyFill="1" applyBorder="1" applyAlignment="1">
      <alignment horizontal="center" vertical="center"/>
    </xf>
    <xf numFmtId="182" fontId="0" fillId="0" borderId="21" xfId="1" applyNumberFormat="1" applyFont="1" applyBorder="1"/>
    <xf numFmtId="43" fontId="86" fillId="2" borderId="20" xfId="1" applyFont="1" applyFill="1" applyBorder="1" applyAlignment="1">
      <alignment horizontal="right" vertical="center"/>
    </xf>
    <xf numFmtId="182" fontId="77" fillId="0" borderId="21" xfId="1" applyNumberFormat="1" applyFont="1" applyBorder="1"/>
    <xf numFmtId="165" fontId="77" fillId="0" borderId="21" xfId="1" applyNumberFormat="1" applyFont="1" applyBorder="1"/>
    <xf numFmtId="182" fontId="56" fillId="32" borderId="21" xfId="1" applyNumberFormat="1" applyFont="1" applyFill="1" applyBorder="1"/>
    <xf numFmtId="43" fontId="81" fillId="2" borderId="20" xfId="1" applyFont="1" applyFill="1" applyBorder="1" applyAlignment="1">
      <alignment horizontal="right" vertical="center"/>
    </xf>
    <xf numFmtId="43" fontId="81" fillId="2" borderId="22" xfId="1" applyFont="1" applyFill="1" applyBorder="1" applyAlignment="1">
      <alignment horizontal="right" vertical="center"/>
    </xf>
    <xf numFmtId="182" fontId="0" fillId="0" borderId="24" xfId="1" applyNumberFormat="1" applyFont="1" applyBorder="1"/>
    <xf numFmtId="0" fontId="79" fillId="33" borderId="77" xfId="0" applyFont="1" applyFill="1" applyBorder="1" applyAlignment="1">
      <alignment horizontal="center" vertical="center"/>
    </xf>
    <xf numFmtId="0" fontId="54" fillId="0" borderId="5" xfId="0" applyFont="1" applyBorder="1" applyAlignment="1">
      <alignment horizontal="center"/>
    </xf>
    <xf numFmtId="0" fontId="54" fillId="0" borderId="5" xfId="0" applyFont="1" applyBorder="1" applyAlignment="1">
      <alignment horizontal="center" vertical="center" wrapText="1"/>
    </xf>
    <xf numFmtId="0" fontId="54" fillId="34" borderId="32" xfId="0" applyFont="1" applyFill="1" applyBorder="1" applyAlignment="1">
      <alignment horizontal="center" vertical="center"/>
    </xf>
    <xf numFmtId="0" fontId="54" fillId="34" borderId="33" xfId="0" applyFont="1" applyFill="1" applyBorder="1" applyAlignment="1">
      <alignment horizontal="center" vertical="center"/>
    </xf>
    <xf numFmtId="0" fontId="54" fillId="34" borderId="11" xfId="0" applyFont="1" applyFill="1" applyBorder="1" applyAlignment="1">
      <alignment horizontal="center" vertical="center"/>
    </xf>
    <xf numFmtId="0" fontId="54" fillId="7" borderId="2" xfId="0" applyFont="1" applyFill="1" applyBorder="1" applyAlignment="1">
      <alignment horizontal="center" vertical="center"/>
    </xf>
    <xf numFmtId="0" fontId="54" fillId="10" borderId="46" xfId="0" applyFont="1" applyFill="1" applyBorder="1" applyAlignment="1">
      <alignment horizontal="center" vertical="center" wrapText="1"/>
    </xf>
    <xf numFmtId="0" fontId="54" fillId="18" borderId="34" xfId="0" applyFont="1" applyFill="1" applyBorder="1" applyAlignment="1">
      <alignment horizontal="center" vertical="center" wrapText="1"/>
    </xf>
    <xf numFmtId="0" fontId="54" fillId="10" borderId="2" xfId="0" applyFont="1" applyFill="1" applyBorder="1" applyAlignment="1">
      <alignment horizontal="center" vertical="center" wrapText="1"/>
    </xf>
    <xf numFmtId="0" fontId="54" fillId="18" borderId="2" xfId="0" applyFont="1" applyFill="1" applyBorder="1" applyAlignment="1">
      <alignment horizontal="center" vertical="center" wrapText="1"/>
    </xf>
    <xf numFmtId="0" fontId="60" fillId="17" borderId="12" xfId="0" applyFont="1" applyFill="1" applyBorder="1" applyAlignment="1">
      <alignment horizontal="center" vertical="center" wrapText="1"/>
    </xf>
    <xf numFmtId="0" fontId="60" fillId="17" borderId="5" xfId="0" applyFont="1" applyFill="1" applyBorder="1" applyAlignment="1">
      <alignment horizontal="center" vertical="center" wrapText="1"/>
    </xf>
    <xf numFmtId="0" fontId="54" fillId="35" borderId="32" xfId="0" applyFont="1" applyFill="1" applyBorder="1" applyAlignment="1">
      <alignment horizontal="center" vertical="center" wrapText="1"/>
    </xf>
    <xf numFmtId="0" fontId="54" fillId="35" borderId="33" xfId="0" applyFont="1" applyFill="1" applyBorder="1" applyAlignment="1">
      <alignment horizontal="center" vertical="center" wrapText="1"/>
    </xf>
    <xf numFmtId="0" fontId="54" fillId="35" borderId="34" xfId="0" applyFont="1" applyFill="1" applyBorder="1" applyAlignment="1">
      <alignment horizontal="center" vertical="center" wrapText="1"/>
    </xf>
    <xf numFmtId="0" fontId="0" fillId="0" borderId="81" xfId="0" applyBorder="1" applyAlignment="1">
      <alignment horizontal="center" vertical="center"/>
    </xf>
    <xf numFmtId="165" fontId="87" fillId="34" borderId="81" xfId="1" applyNumberFormat="1" applyFont="1" applyFill="1" applyBorder="1" applyAlignment="1">
      <alignment horizontal="center" vertical="center"/>
    </xf>
    <xf numFmtId="165" fontId="87" fillId="34" borderId="72" xfId="1" applyNumberFormat="1" applyFont="1" applyFill="1" applyBorder="1" applyAlignment="1">
      <alignment horizontal="center" vertical="center"/>
    </xf>
    <xf numFmtId="165" fontId="0" fillId="34" borderId="78" xfId="1" applyNumberFormat="1" applyFont="1" applyFill="1" applyBorder="1" applyAlignment="1">
      <alignment horizontal="center" vertical="center"/>
    </xf>
    <xf numFmtId="165" fontId="0" fillId="7" borderId="14" xfId="1" applyNumberFormat="1" applyFont="1" applyFill="1" applyBorder="1" applyAlignment="1">
      <alignment horizontal="center" vertical="center"/>
    </xf>
    <xf numFmtId="165" fontId="87" fillId="10" borderId="82" xfId="1" applyNumberFormat="1" applyFont="1" applyFill="1" applyBorder="1" applyAlignment="1">
      <alignment horizontal="center" vertical="center"/>
    </xf>
    <xf numFmtId="165" fontId="0" fillId="18" borderId="64" xfId="0" applyNumberFormat="1" applyFill="1" applyBorder="1"/>
    <xf numFmtId="9" fontId="0" fillId="10" borderId="17" xfId="2" applyFont="1" applyFill="1" applyBorder="1"/>
    <xf numFmtId="9" fontId="0" fillId="18" borderId="19" xfId="2" applyFont="1" applyFill="1" applyBorder="1"/>
    <xf numFmtId="165" fontId="87" fillId="17" borderId="45" xfId="1" applyNumberFormat="1" applyFont="1" applyFill="1" applyBorder="1" applyAlignment="1">
      <alignment horizontal="center" vertical="center"/>
    </xf>
    <xf numFmtId="165" fontId="87" fillId="17" borderId="36" xfId="1" applyNumberFormat="1" applyFont="1" applyFill="1" applyBorder="1" applyAlignment="1">
      <alignment horizontal="center" vertical="center"/>
    </xf>
    <xf numFmtId="165" fontId="87" fillId="35" borderId="81" xfId="1" applyNumberFormat="1" applyFont="1" applyFill="1" applyBorder="1" applyAlignment="1">
      <alignment horizontal="center" vertical="center"/>
    </xf>
    <xf numFmtId="165" fontId="87" fillId="35" borderId="72" xfId="1" applyNumberFormat="1" applyFont="1" applyFill="1" applyBorder="1" applyAlignment="1">
      <alignment horizontal="center" vertical="center"/>
    </xf>
    <xf numFmtId="165" fontId="87" fillId="35" borderId="64" xfId="1" applyNumberFormat="1" applyFont="1" applyFill="1" applyBorder="1" applyAlignment="1">
      <alignment horizontal="center" vertical="center"/>
    </xf>
    <xf numFmtId="165" fontId="87" fillId="34" borderId="20" xfId="1" applyNumberFormat="1" applyFont="1" applyFill="1" applyBorder="1" applyAlignment="1">
      <alignment horizontal="center" vertical="center"/>
    </xf>
    <xf numFmtId="165" fontId="87" fillId="34" borderId="1" xfId="1" applyNumberFormat="1" applyFont="1" applyFill="1" applyBorder="1" applyAlignment="1">
      <alignment horizontal="center" vertical="center"/>
    </xf>
    <xf numFmtId="165" fontId="0" fillId="34" borderId="84" xfId="1" applyNumberFormat="1" applyFont="1" applyFill="1" applyBorder="1" applyAlignment="1">
      <alignment horizontal="center" vertical="center"/>
    </xf>
    <xf numFmtId="165" fontId="0" fillId="7" borderId="9" xfId="1" applyNumberFormat="1" applyFont="1" applyFill="1" applyBorder="1" applyAlignment="1">
      <alignment horizontal="center" vertical="center"/>
    </xf>
    <xf numFmtId="165" fontId="87" fillId="10" borderId="13" xfId="1" applyNumberFormat="1" applyFont="1" applyFill="1" applyBorder="1" applyAlignment="1">
      <alignment horizontal="center" vertical="center"/>
    </xf>
    <xf numFmtId="165" fontId="0" fillId="18" borderId="21" xfId="0" applyNumberFormat="1" applyFill="1" applyBorder="1"/>
    <xf numFmtId="9" fontId="0" fillId="10" borderId="81" xfId="2" applyFont="1" applyFill="1" applyBorder="1"/>
    <xf numFmtId="9" fontId="0" fillId="18" borderId="64" xfId="2" applyFont="1" applyFill="1" applyBorder="1"/>
    <xf numFmtId="165" fontId="0" fillId="12" borderId="84" xfId="1" applyNumberFormat="1" applyFont="1" applyFill="1" applyBorder="1" applyAlignment="1">
      <alignment horizontal="center" vertical="center"/>
    </xf>
    <xf numFmtId="165" fontId="64" fillId="12" borderId="1" xfId="1" quotePrefix="1" applyNumberFormat="1" applyFont="1" applyFill="1" applyBorder="1" applyAlignment="1">
      <alignment horizontal="center" vertical="center"/>
    </xf>
    <xf numFmtId="165" fontId="87" fillId="12" borderId="72" xfId="1" applyNumberFormat="1" applyFont="1" applyFill="1" applyBorder="1" applyAlignment="1">
      <alignment horizontal="center" vertical="center"/>
    </xf>
    <xf numFmtId="165" fontId="87" fillId="12" borderId="1" xfId="1" applyNumberFormat="1" applyFont="1" applyFill="1" applyBorder="1" applyAlignment="1">
      <alignment horizontal="center" vertical="center"/>
    </xf>
    <xf numFmtId="0" fontId="0" fillId="0" borderId="47" xfId="0" applyBorder="1" applyAlignment="1">
      <alignment horizontal="center" vertical="center"/>
    </xf>
    <xf numFmtId="165" fontId="87" fillId="34" borderId="47" xfId="1" applyNumberFormat="1" applyFont="1" applyFill="1" applyBorder="1" applyAlignment="1">
      <alignment horizontal="center" vertical="center"/>
    </xf>
    <xf numFmtId="165" fontId="87" fillId="34" borderId="4" xfId="1" applyNumberFormat="1" applyFont="1" applyFill="1" applyBorder="1" applyAlignment="1">
      <alignment horizontal="center" vertical="center"/>
    </xf>
    <xf numFmtId="165" fontId="0" fillId="34" borderId="85" xfId="1" applyNumberFormat="1" applyFont="1" applyFill="1" applyBorder="1" applyAlignment="1">
      <alignment horizontal="center" vertical="center"/>
    </xf>
    <xf numFmtId="165" fontId="0" fillId="7" borderId="15" xfId="1" applyNumberFormat="1" applyFont="1" applyFill="1" applyBorder="1" applyAlignment="1">
      <alignment horizontal="center" vertical="center"/>
    </xf>
    <xf numFmtId="165" fontId="87" fillId="10" borderId="37" xfId="1" applyNumberFormat="1" applyFont="1" applyFill="1" applyBorder="1" applyAlignment="1">
      <alignment horizontal="center" vertical="center"/>
    </xf>
    <xf numFmtId="165" fontId="0" fillId="18" borderId="48" xfId="0" applyNumberFormat="1" applyFill="1" applyBorder="1"/>
    <xf numFmtId="9" fontId="0" fillId="10" borderId="90" xfId="2" applyFont="1" applyFill="1" applyBorder="1"/>
    <xf numFmtId="9" fontId="0" fillId="18" borderId="91" xfId="2" applyFont="1" applyFill="1" applyBorder="1"/>
    <xf numFmtId="165" fontId="87" fillId="17" borderId="83" xfId="1" applyNumberFormat="1" applyFont="1" applyFill="1" applyBorder="1" applyAlignment="1">
      <alignment horizontal="center" vertical="center"/>
    </xf>
    <xf numFmtId="165" fontId="69" fillId="0" borderId="33" xfId="1" applyNumberFormat="1" applyFont="1" applyFill="1" applyBorder="1" applyAlignment="1">
      <alignment horizontal="right" vertical="center"/>
    </xf>
    <xf numFmtId="165" fontId="69" fillId="0" borderId="34" xfId="1" applyNumberFormat="1" applyFont="1" applyFill="1" applyBorder="1" applyAlignment="1">
      <alignment horizontal="right" vertical="center"/>
    </xf>
    <xf numFmtId="165" fontId="69" fillId="0" borderId="12" xfId="0" applyNumberFormat="1" applyFont="1" applyBorder="1" applyAlignment="1">
      <alignment horizontal="right" vertical="center"/>
    </xf>
    <xf numFmtId="165" fontId="88" fillId="0" borderId="5" xfId="1" applyNumberFormat="1" applyFont="1" applyFill="1" applyBorder="1" applyAlignment="1">
      <alignment horizontal="center" vertical="center"/>
    </xf>
    <xf numFmtId="165" fontId="69" fillId="0" borderId="32" xfId="1" applyNumberFormat="1" applyFont="1" applyFill="1" applyBorder="1" applyAlignment="1">
      <alignment horizontal="right" vertical="center"/>
    </xf>
    <xf numFmtId="165" fontId="69" fillId="0" borderId="2" xfId="1" applyNumberFormat="1" applyFont="1" applyFill="1" applyBorder="1" applyAlignment="1">
      <alignment horizontal="right" vertical="center"/>
    </xf>
    <xf numFmtId="0" fontId="54" fillId="0" borderId="5" xfId="0" applyFont="1" applyBorder="1" applyAlignment="1">
      <alignment horizontal="center" vertical="center"/>
    </xf>
    <xf numFmtId="165" fontId="54" fillId="0" borderId="55" xfId="0" applyNumberFormat="1" applyFont="1" applyBorder="1" applyAlignment="1">
      <alignment horizontal="center" vertical="center"/>
    </xf>
    <xf numFmtId="165" fontId="54" fillId="0" borderId="56" xfId="0" applyNumberFormat="1" applyFont="1" applyBorder="1" applyAlignment="1">
      <alignment horizontal="center" vertical="center"/>
    </xf>
    <xf numFmtId="165" fontId="54" fillId="0" borderId="57" xfId="0" applyNumberFormat="1" applyFont="1" applyBorder="1" applyAlignment="1">
      <alignment horizontal="center" vertical="center"/>
    </xf>
    <xf numFmtId="165" fontId="54" fillId="0" borderId="12" xfId="0" applyNumberFormat="1" applyFont="1" applyBorder="1" applyAlignment="1">
      <alignment horizontal="center" vertical="center"/>
    </xf>
    <xf numFmtId="165" fontId="54" fillId="0" borderId="5" xfId="0" applyNumberFormat="1" applyFont="1" applyBorder="1" applyAlignment="1">
      <alignment horizontal="center" vertical="center"/>
    </xf>
    <xf numFmtId="165" fontId="54" fillId="0" borderId="32" xfId="0" applyNumberFormat="1" applyFont="1" applyBorder="1" applyAlignment="1">
      <alignment horizontal="center" vertical="center"/>
    </xf>
    <xf numFmtId="165" fontId="54" fillId="0" borderId="2" xfId="0" applyNumberFormat="1" applyFont="1" applyBorder="1" applyAlignment="1">
      <alignment horizontal="center" vertical="center"/>
    </xf>
    <xf numFmtId="182" fontId="0" fillId="0" borderId="0" xfId="0" applyNumberFormat="1"/>
    <xf numFmtId="0" fontId="78" fillId="32" borderId="17" xfId="0" applyFont="1" applyFill="1" applyBorder="1" applyAlignment="1">
      <alignment horizontal="center" vertical="center"/>
    </xf>
    <xf numFmtId="0" fontId="78" fillId="32" borderId="18" xfId="0" applyFont="1" applyFill="1" applyBorder="1" applyAlignment="1">
      <alignment horizontal="center" vertical="center"/>
    </xf>
    <xf numFmtId="0" fontId="71" fillId="2" borderId="29" xfId="0" applyFont="1" applyFill="1" applyBorder="1" applyAlignment="1">
      <alignment horizontal="center" vertical="center"/>
    </xf>
    <xf numFmtId="0" fontId="71" fillId="2" borderId="47" xfId="0" applyFont="1" applyFill="1" applyBorder="1" applyAlignment="1">
      <alignment horizontal="center" vertical="center"/>
    </xf>
    <xf numFmtId="0" fontId="71" fillId="0" borderId="20" xfId="0" applyFont="1" applyBorder="1" applyAlignment="1">
      <alignment horizontal="center" vertical="center"/>
    </xf>
    <xf numFmtId="0" fontId="0" fillId="0" borderId="73" xfId="0" applyBorder="1" applyAlignment="1">
      <alignment horizontal="center"/>
    </xf>
    <xf numFmtId="182" fontId="0" fillId="0" borderId="0" xfId="1" applyNumberFormat="1" applyFont="1" applyBorder="1"/>
    <xf numFmtId="182" fontId="0" fillId="0" borderId="83" xfId="1" applyNumberFormat="1" applyFont="1" applyBorder="1"/>
    <xf numFmtId="0" fontId="0" fillId="0" borderId="31" xfId="0" applyBorder="1" applyAlignment="1">
      <alignment horizontal="center"/>
    </xf>
    <xf numFmtId="0" fontId="0" fillId="0" borderId="16" xfId="0" applyBorder="1" applyAlignment="1">
      <alignment horizontal="center"/>
    </xf>
    <xf numFmtId="43" fontId="0" fillId="0" borderId="16" xfId="0" applyNumberFormat="1" applyBorder="1"/>
    <xf numFmtId="43" fontId="0" fillId="0" borderId="44" xfId="0" applyNumberFormat="1" applyBorder="1"/>
    <xf numFmtId="0" fontId="90" fillId="0" borderId="44"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vertical="center"/>
    </xf>
    <xf numFmtId="1" fontId="0" fillId="0" borderId="21" xfId="0" applyNumberFormat="1" applyBorder="1" applyAlignment="1">
      <alignment horizontal="center" vertical="center"/>
    </xf>
    <xf numFmtId="165" fontId="73" fillId="0" borderId="1" xfId="1" applyNumberFormat="1" applyFont="1" applyBorder="1"/>
    <xf numFmtId="165" fontId="73" fillId="0" borderId="23" xfId="1" applyNumberFormat="1" applyFont="1" applyBorder="1"/>
    <xf numFmtId="0" fontId="71" fillId="39" borderId="2" xfId="0" applyFont="1" applyFill="1" applyBorder="1" applyAlignment="1">
      <alignment horizontal="center"/>
    </xf>
    <xf numFmtId="0" fontId="71" fillId="6" borderId="5" xfId="0" applyFont="1" applyFill="1" applyBorder="1" applyAlignment="1">
      <alignment horizontal="center"/>
    </xf>
    <xf numFmtId="0" fontId="71" fillId="10" borderId="32" xfId="0" applyFont="1" applyFill="1" applyBorder="1" applyAlignment="1">
      <alignment horizontal="center"/>
    </xf>
    <xf numFmtId="0" fontId="71" fillId="10" borderId="50" xfId="0" applyFont="1" applyFill="1" applyBorder="1" applyAlignment="1">
      <alignment horizontal="center"/>
    </xf>
    <xf numFmtId="0" fontId="71" fillId="16" borderId="32" xfId="0" applyFont="1" applyFill="1" applyBorder="1" applyAlignment="1">
      <alignment horizontal="center"/>
    </xf>
    <xf numFmtId="0" fontId="71" fillId="16" borderId="34" xfId="0" applyFont="1" applyFill="1" applyBorder="1" applyAlignment="1">
      <alignment horizontal="center"/>
    </xf>
    <xf numFmtId="0" fontId="71" fillId="16" borderId="2" xfId="0" applyFont="1" applyFill="1" applyBorder="1" applyAlignment="1">
      <alignment horizontal="center"/>
    </xf>
    <xf numFmtId="0" fontId="71" fillId="2" borderId="0" xfId="0" applyFont="1" applyFill="1" applyAlignment="1">
      <alignment horizontal="center"/>
    </xf>
    <xf numFmtId="0" fontId="71" fillId="40" borderId="2" xfId="0" applyFont="1" applyFill="1" applyBorder="1" applyAlignment="1">
      <alignment horizontal="center"/>
    </xf>
    <xf numFmtId="0" fontId="71" fillId="19" borderId="32" xfId="0" applyFont="1" applyFill="1" applyBorder="1" applyAlignment="1">
      <alignment horizontal="center"/>
    </xf>
    <xf numFmtId="0" fontId="71" fillId="19" borderId="34" xfId="0" applyFont="1" applyFill="1" applyBorder="1" applyAlignment="1">
      <alignment horizontal="center"/>
    </xf>
    <xf numFmtId="0" fontId="71" fillId="21" borderId="32" xfId="0" applyFont="1" applyFill="1" applyBorder="1" applyAlignment="1">
      <alignment horizontal="center"/>
    </xf>
    <xf numFmtId="0" fontId="71" fillId="21" borderId="34" xfId="0" applyFont="1" applyFill="1" applyBorder="1" applyAlignment="1">
      <alignment horizontal="center"/>
    </xf>
    <xf numFmtId="0" fontId="71" fillId="21" borderId="2" xfId="0" applyFont="1" applyFill="1" applyBorder="1" applyAlignment="1">
      <alignment horizontal="center"/>
    </xf>
    <xf numFmtId="0" fontId="71" fillId="23" borderId="2" xfId="0" applyFont="1" applyFill="1" applyBorder="1" applyAlignment="1">
      <alignment horizontal="center"/>
    </xf>
    <xf numFmtId="0" fontId="71" fillId="14" borderId="32" xfId="0" applyFont="1" applyFill="1" applyBorder="1" applyAlignment="1">
      <alignment horizontal="center"/>
    </xf>
    <xf numFmtId="0" fontId="71" fillId="14" borderId="34" xfId="0" applyFont="1" applyFill="1" applyBorder="1" applyAlignment="1">
      <alignment horizontal="center"/>
    </xf>
    <xf numFmtId="0" fontId="71" fillId="11" borderId="32" xfId="0" applyFont="1" applyFill="1" applyBorder="1" applyAlignment="1">
      <alignment horizontal="center"/>
    </xf>
    <xf numFmtId="0" fontId="71" fillId="11" borderId="34" xfId="0" applyFont="1" applyFill="1" applyBorder="1" applyAlignment="1">
      <alignment horizontal="center"/>
    </xf>
    <xf numFmtId="0" fontId="71" fillId="11" borderId="2" xfId="0" applyFont="1" applyFill="1" applyBorder="1" applyAlignment="1">
      <alignment horizontal="center"/>
    </xf>
    <xf numFmtId="0" fontId="71" fillId="0" borderId="0" xfId="0" applyFont="1" applyAlignment="1">
      <alignment horizontal="center"/>
    </xf>
    <xf numFmtId="0" fontId="71" fillId="41" borderId="2" xfId="0" applyFont="1" applyFill="1" applyBorder="1" applyAlignment="1">
      <alignment horizontal="center"/>
    </xf>
    <xf numFmtId="0" fontId="71" fillId="10" borderId="2" xfId="0" applyFont="1" applyFill="1" applyBorder="1" applyAlignment="1">
      <alignment horizontal="center"/>
    </xf>
    <xf numFmtId="0" fontId="0" fillId="39" borderId="14" xfId="0" applyFill="1" applyBorder="1"/>
    <xf numFmtId="165" fontId="59" fillId="0" borderId="36" xfId="1" applyNumberFormat="1" applyFont="1" applyFill="1" applyBorder="1"/>
    <xf numFmtId="165" fontId="59" fillId="0" borderId="81" xfId="1" applyNumberFormat="1" applyFont="1" applyFill="1" applyBorder="1"/>
    <xf numFmtId="165" fontId="0" fillId="0" borderId="74" xfId="1" applyNumberFormat="1" applyFont="1" applyFill="1" applyBorder="1"/>
    <xf numFmtId="165" fontId="0" fillId="0" borderId="64" xfId="1" applyNumberFormat="1" applyFont="1" applyFill="1" applyBorder="1"/>
    <xf numFmtId="165" fontId="0" fillId="0" borderId="14" xfId="1" applyNumberFormat="1" applyFont="1" applyFill="1" applyBorder="1"/>
    <xf numFmtId="43" fontId="0" fillId="2" borderId="0" xfId="1" applyFont="1" applyFill="1" applyBorder="1"/>
    <xf numFmtId="43" fontId="59" fillId="0" borderId="14" xfId="1" applyFont="1" applyFill="1" applyBorder="1"/>
    <xf numFmtId="43" fontId="59" fillId="0" borderId="81" xfId="1" applyFont="1" applyFill="1" applyBorder="1"/>
    <xf numFmtId="43" fontId="0" fillId="0" borderId="64" xfId="1" applyFont="1" applyFill="1" applyBorder="1"/>
    <xf numFmtId="43" fontId="0" fillId="0" borderId="0" xfId="1" applyFont="1" applyBorder="1"/>
    <xf numFmtId="165" fontId="54" fillId="0" borderId="14" xfId="1" applyNumberFormat="1" applyFont="1" applyFill="1" applyBorder="1"/>
    <xf numFmtId="0" fontId="0" fillId="39" borderId="9" xfId="0" applyFill="1" applyBorder="1"/>
    <xf numFmtId="165" fontId="59" fillId="0" borderId="28" xfId="1" applyNumberFormat="1" applyFont="1" applyFill="1" applyBorder="1"/>
    <xf numFmtId="165" fontId="59" fillId="0" borderId="20" xfId="1" applyNumberFormat="1" applyFont="1" applyFill="1" applyBorder="1"/>
    <xf numFmtId="165" fontId="0" fillId="0" borderId="3" xfId="1" applyNumberFormat="1" applyFont="1" applyFill="1" applyBorder="1"/>
    <xf numFmtId="165" fontId="0" fillId="0" borderId="9" xfId="1" applyNumberFormat="1" applyFont="1" applyFill="1" applyBorder="1"/>
    <xf numFmtId="43" fontId="59" fillId="0" borderId="9" xfId="1" applyFont="1" applyFill="1" applyBorder="1"/>
    <xf numFmtId="43" fontId="59" fillId="0" borderId="20" xfId="1" applyFont="1" applyFill="1" applyBorder="1"/>
    <xf numFmtId="43" fontId="0" fillId="0" borderId="21" xfId="1" applyFont="1" applyFill="1" applyBorder="1"/>
    <xf numFmtId="43" fontId="0" fillId="0" borderId="0" xfId="1" applyFont="1"/>
    <xf numFmtId="165" fontId="59" fillId="0" borderId="30" xfId="1" applyNumberFormat="1" applyFont="1" applyFill="1" applyBorder="1"/>
    <xf numFmtId="165" fontId="59" fillId="0" borderId="22" xfId="1" applyNumberFormat="1" applyFont="1" applyFill="1" applyBorder="1"/>
    <xf numFmtId="165" fontId="0" fillId="0" borderId="26" xfId="1" applyNumberFormat="1" applyFont="1" applyFill="1" applyBorder="1"/>
    <xf numFmtId="165" fontId="0" fillId="0" borderId="57" xfId="1" applyNumberFormat="1" applyFont="1" applyFill="1" applyBorder="1"/>
    <xf numFmtId="165" fontId="0" fillId="0" borderId="10" xfId="1" applyNumberFormat="1" applyFont="1" applyFill="1" applyBorder="1"/>
    <xf numFmtId="43" fontId="0" fillId="2" borderId="16" xfId="1" applyFont="1" applyFill="1" applyBorder="1"/>
    <xf numFmtId="43" fontId="59" fillId="0" borderId="10" xfId="1" applyFont="1" applyFill="1" applyBorder="1"/>
    <xf numFmtId="43" fontId="59" fillId="0" borderId="22" xfId="1" applyFont="1" applyFill="1" applyBorder="1"/>
    <xf numFmtId="43" fontId="0" fillId="0" borderId="24" xfId="1" applyFont="1" applyFill="1" applyBorder="1"/>
    <xf numFmtId="43" fontId="0" fillId="0" borderId="16" xfId="1" applyFont="1" applyBorder="1"/>
    <xf numFmtId="165" fontId="54" fillId="0" borderId="7" xfId="1" applyNumberFormat="1" applyFont="1" applyFill="1" applyBorder="1"/>
    <xf numFmtId="43" fontId="59" fillId="0" borderId="28" xfId="1" applyFont="1" applyFill="1" applyBorder="1"/>
    <xf numFmtId="0" fontId="0" fillId="39" borderId="10" xfId="0" applyFill="1" applyBorder="1"/>
    <xf numFmtId="43" fontId="59" fillId="0" borderId="30" xfId="1" applyFont="1" applyFill="1" applyBorder="1"/>
    <xf numFmtId="0" fontId="54" fillId="39" borderId="2" xfId="0" applyFont="1" applyFill="1" applyBorder="1"/>
    <xf numFmtId="165" fontId="0" fillId="0" borderId="2" xfId="1" applyNumberFormat="1" applyFont="1" applyBorder="1"/>
    <xf numFmtId="43" fontId="0" fillId="24" borderId="2" xfId="1" applyFont="1" applyFill="1" applyBorder="1" applyAlignment="1">
      <alignment horizontal="right"/>
    </xf>
    <xf numFmtId="165" fontId="54" fillId="24" borderId="2" xfId="1" applyNumberFormat="1" applyFont="1" applyFill="1" applyBorder="1"/>
    <xf numFmtId="43" fontId="0" fillId="24" borderId="2" xfId="1" applyFont="1" applyFill="1" applyBorder="1"/>
    <xf numFmtId="165" fontId="0" fillId="24" borderId="2" xfId="1" applyNumberFormat="1" applyFont="1" applyFill="1" applyBorder="1"/>
    <xf numFmtId="43" fontId="0" fillId="17" borderId="2" xfId="1" applyFont="1" applyFill="1" applyBorder="1" applyAlignment="1">
      <alignment horizontal="right"/>
    </xf>
    <xf numFmtId="165" fontId="0" fillId="17" borderId="2" xfId="1" applyNumberFormat="1" applyFont="1" applyFill="1" applyBorder="1"/>
    <xf numFmtId="43" fontId="0" fillId="17" borderId="2" xfId="1" applyFont="1" applyFill="1" applyBorder="1"/>
    <xf numFmtId="4" fontId="87" fillId="0" borderId="0" xfId="0" applyNumberFormat="1" applyFont="1" applyAlignment="1">
      <alignment vertical="center"/>
    </xf>
    <xf numFmtId="165" fontId="73" fillId="0" borderId="20" xfId="1" applyNumberFormat="1" applyFont="1" applyBorder="1" applyAlignment="1">
      <alignment horizontal="center" vertical="center"/>
    </xf>
    <xf numFmtId="165" fontId="73" fillId="0" borderId="21" xfId="1" applyNumberFormat="1" applyFont="1" applyBorder="1"/>
    <xf numFmtId="165" fontId="73" fillId="0" borderId="22" xfId="1" applyNumberFormat="1" applyFont="1" applyBorder="1" applyAlignment="1">
      <alignment horizontal="center" vertical="center"/>
    </xf>
    <xf numFmtId="165" fontId="73" fillId="0" borderId="24" xfId="1" applyNumberFormat="1" applyFont="1" applyBorder="1"/>
    <xf numFmtId="0" fontId="88" fillId="37" borderId="6" xfId="0" applyFont="1" applyFill="1" applyBorder="1" applyAlignment="1">
      <alignment horizontal="center" vertical="center" wrapText="1"/>
    </xf>
    <xf numFmtId="0" fontId="88" fillId="37" borderId="43" xfId="0" applyFont="1" applyFill="1" applyBorder="1" applyAlignment="1">
      <alignment horizontal="center" vertical="center" wrapText="1"/>
    </xf>
    <xf numFmtId="0" fontId="88" fillId="0" borderId="1" xfId="0" applyFont="1" applyBorder="1" applyAlignment="1">
      <alignment horizontal="center" vertical="center" wrapText="1"/>
    </xf>
    <xf numFmtId="165" fontId="73" fillId="0" borderId="17" xfId="1" applyNumberFormat="1" applyFont="1" applyBorder="1" applyAlignment="1">
      <alignment horizontal="center" vertical="center"/>
    </xf>
    <xf numFmtId="0" fontId="88" fillId="0" borderId="18" xfId="0" applyFont="1" applyBorder="1" applyAlignment="1">
      <alignment horizontal="center" vertical="center"/>
    </xf>
    <xf numFmtId="165" fontId="73" fillId="0" borderId="19" xfId="1" applyNumberFormat="1" applyFont="1" applyBorder="1"/>
    <xf numFmtId="0" fontId="88" fillId="0" borderId="23" xfId="0" applyFont="1" applyBorder="1" applyAlignment="1">
      <alignment horizontal="center" vertical="center" wrapText="1"/>
    </xf>
    <xf numFmtId="0" fontId="88" fillId="37" borderId="27" xfId="0" applyFont="1" applyFill="1" applyBorder="1" applyAlignment="1">
      <alignment horizontal="center" vertical="center" wrapText="1"/>
    </xf>
    <xf numFmtId="0" fontId="88" fillId="37" borderId="83" xfId="0" applyFont="1" applyFill="1" applyBorder="1" applyAlignment="1">
      <alignment horizontal="center" vertical="center" wrapText="1"/>
    </xf>
    <xf numFmtId="165" fontId="73" fillId="0" borderId="72" xfId="1" applyNumberFormat="1" applyFont="1" applyBorder="1"/>
    <xf numFmtId="0" fontId="0" fillId="0" borderId="32" xfId="0" applyBorder="1" applyAlignment="1">
      <alignment horizontal="center" vertical="center"/>
    </xf>
    <xf numFmtId="0" fontId="0" fillId="0" borderId="33" xfId="0" applyBorder="1" applyAlignment="1">
      <alignment horizontal="center" vertical="center"/>
    </xf>
    <xf numFmtId="0" fontId="0" fillId="0" borderId="34" xfId="0" applyBorder="1" applyAlignment="1">
      <alignment horizontal="center" vertical="center"/>
    </xf>
    <xf numFmtId="0" fontId="0" fillId="14" borderId="6" xfId="0" applyFill="1" applyBorder="1" applyAlignment="1">
      <alignment horizontal="center" vertical="center"/>
    </xf>
    <xf numFmtId="0" fontId="0" fillId="14" borderId="75" xfId="0" applyFill="1" applyBorder="1" applyAlignment="1">
      <alignment horizontal="center" vertical="center"/>
    </xf>
    <xf numFmtId="0" fontId="0" fillId="14" borderId="76" xfId="0" applyFill="1" applyBorder="1" applyAlignment="1">
      <alignment horizontal="center" vertical="center"/>
    </xf>
    <xf numFmtId="0" fontId="0" fillId="14" borderId="77" xfId="0" applyFill="1" applyBorder="1" applyAlignment="1">
      <alignment horizontal="center" vertical="center"/>
    </xf>
    <xf numFmtId="165" fontId="0" fillId="0" borderId="18" xfId="1" applyNumberFormat="1" applyFont="1" applyBorder="1" applyAlignment="1">
      <alignment horizontal="center" vertical="center"/>
    </xf>
    <xf numFmtId="1" fontId="0" fillId="0" borderId="19" xfId="0" applyNumberFormat="1" applyBorder="1" applyAlignment="1">
      <alignment horizontal="center" vertical="center"/>
    </xf>
    <xf numFmtId="165" fontId="59" fillId="0" borderId="23" xfId="1" applyNumberFormat="1" applyFont="1" applyBorder="1" applyAlignment="1">
      <alignment horizontal="center" vertical="center"/>
    </xf>
    <xf numFmtId="165" fontId="0" fillId="0" borderId="23" xfId="1" applyNumberFormat="1" applyFont="1" applyBorder="1" applyAlignment="1">
      <alignment horizontal="center" vertical="center"/>
    </xf>
    <xf numFmtId="1" fontId="0" fillId="0" borderId="24" xfId="0" applyNumberFormat="1" applyBorder="1" applyAlignment="1">
      <alignment horizontal="center" vertical="center"/>
    </xf>
    <xf numFmtId="0" fontId="95" fillId="25" borderId="0" xfId="3" applyFont="1" applyFill="1" applyAlignment="1">
      <alignment horizontal="center" vertical="center"/>
    </xf>
    <xf numFmtId="0" fontId="2" fillId="0" borderId="0" xfId="3" applyAlignment="1">
      <alignment horizontal="center" vertical="center"/>
    </xf>
    <xf numFmtId="169" fontId="54" fillId="0" borderId="45" xfId="0" applyNumberFormat="1" applyFont="1" applyBorder="1" applyAlignment="1">
      <alignment horizontal="center"/>
    </xf>
    <xf numFmtId="169" fontId="54" fillId="0" borderId="38" xfId="0" applyNumberFormat="1" applyFont="1" applyBorder="1" applyAlignment="1">
      <alignment horizontal="center"/>
    </xf>
    <xf numFmtId="169" fontId="54" fillId="0" borderId="71" xfId="0" applyNumberFormat="1" applyFont="1" applyBorder="1" applyAlignment="1">
      <alignment horizontal="center"/>
    </xf>
    <xf numFmtId="0" fontId="0" fillId="0" borderId="17" xfId="0" applyBorder="1" applyAlignment="1">
      <alignment horizontal="center"/>
    </xf>
    <xf numFmtId="0" fontId="0" fillId="0" borderId="20" xfId="0" applyBorder="1" applyAlignment="1">
      <alignment horizontal="center"/>
    </xf>
    <xf numFmtId="0" fontId="0" fillId="0" borderId="22" xfId="0" applyBorder="1" applyAlignment="1">
      <alignment horizontal="center"/>
    </xf>
    <xf numFmtId="170" fontId="0" fillId="0" borderId="25" xfId="0" applyNumberFormat="1" applyBorder="1"/>
    <xf numFmtId="170" fontId="0" fillId="0" borderId="3" xfId="0" applyNumberFormat="1" applyBorder="1"/>
    <xf numFmtId="170" fontId="0" fillId="0" borderId="26" xfId="0" applyNumberFormat="1" applyBorder="1"/>
    <xf numFmtId="171" fontId="54" fillId="0" borderId="8" xfId="0" applyNumberFormat="1" applyFont="1" applyBorder="1"/>
    <xf numFmtId="171" fontId="54" fillId="0" borderId="10" xfId="0" applyNumberFormat="1" applyFont="1" applyBorder="1"/>
    <xf numFmtId="0" fontId="54" fillId="0" borderId="1" xfId="0" applyFont="1" applyBorder="1"/>
    <xf numFmtId="172" fontId="54" fillId="0" borderId="10" xfId="0" applyNumberFormat="1" applyFont="1" applyBorder="1"/>
    <xf numFmtId="172" fontId="54" fillId="0" borderId="8" xfId="0" applyNumberFormat="1" applyFont="1" applyBorder="1"/>
    <xf numFmtId="0" fontId="54" fillId="0" borderId="18" xfId="0" applyFont="1" applyBorder="1"/>
    <xf numFmtId="0" fontId="54" fillId="0" borderId="23" xfId="0" applyFont="1" applyBorder="1"/>
    <xf numFmtId="0" fontId="59" fillId="0" borderId="18" xfId="0" applyFont="1" applyBorder="1" applyAlignment="1">
      <alignment horizontal="center" vertical="center"/>
    </xf>
    <xf numFmtId="0" fontId="62" fillId="0" borderId="18" xfId="0" applyFont="1" applyBorder="1" applyAlignment="1">
      <alignment horizontal="center"/>
    </xf>
    <xf numFmtId="174" fontId="0" fillId="0" borderId="24" xfId="0" applyNumberFormat="1" applyBorder="1"/>
    <xf numFmtId="174" fontId="54" fillId="0" borderId="45" xfId="0" applyNumberFormat="1" applyFont="1" applyBorder="1"/>
    <xf numFmtId="174" fontId="0" fillId="0" borderId="21" xfId="0" applyNumberFormat="1" applyBorder="1"/>
    <xf numFmtId="174" fontId="54" fillId="0" borderId="38" xfId="0" applyNumberFormat="1" applyFont="1" applyBorder="1"/>
    <xf numFmtId="174" fontId="54" fillId="0" borderId="71" xfId="0" applyNumberFormat="1" applyFont="1" applyBorder="1"/>
    <xf numFmtId="2" fontId="54" fillId="19" borderId="10" xfId="0" applyNumberFormat="1" applyFont="1" applyFill="1" applyBorder="1"/>
    <xf numFmtId="0" fontId="0" fillId="20" borderId="75" xfId="0" applyFill="1" applyBorder="1" applyAlignment="1">
      <alignment horizontal="center" vertical="center" wrapText="1"/>
    </xf>
    <xf numFmtId="0" fontId="0" fillId="20" borderId="76" xfId="0" applyFill="1" applyBorder="1" applyAlignment="1">
      <alignment horizontal="center" vertical="center" wrapText="1"/>
    </xf>
    <xf numFmtId="0" fontId="0" fillId="20" borderId="80" xfId="0" applyFill="1" applyBorder="1" applyAlignment="1">
      <alignment horizontal="center" vertical="center" wrapText="1"/>
    </xf>
    <xf numFmtId="1" fontId="59" fillId="0" borderId="17" xfId="0" applyNumberFormat="1" applyFont="1" applyBorder="1" applyAlignment="1">
      <alignment horizontal="center" vertical="center"/>
    </xf>
    <xf numFmtId="0" fontId="0" fillId="21" borderId="75" xfId="0" applyFill="1" applyBorder="1" applyAlignment="1">
      <alignment horizontal="center" vertical="center" wrapText="1"/>
    </xf>
    <xf numFmtId="0" fontId="0" fillId="21" borderId="76" xfId="0" applyFill="1" applyBorder="1" applyAlignment="1">
      <alignment horizontal="center" vertical="center" wrapText="1"/>
    </xf>
    <xf numFmtId="0" fontId="0" fillId="21" borderId="77" xfId="0" applyFill="1" applyBorder="1" applyAlignment="1">
      <alignment horizontal="center" vertical="center" wrapText="1"/>
    </xf>
    <xf numFmtId="0" fontId="0" fillId="2" borderId="18" xfId="1" applyNumberFormat="1" applyFont="1" applyFill="1" applyBorder="1" applyAlignment="1">
      <alignment horizontal="center" vertical="center"/>
    </xf>
    <xf numFmtId="2" fontId="59" fillId="0" borderId="17" xfId="0" applyNumberFormat="1" applyFont="1" applyBorder="1" applyAlignment="1">
      <alignment horizontal="center" vertical="center"/>
    </xf>
    <xf numFmtId="2" fontId="59" fillId="0" borderId="22" xfId="0" applyNumberFormat="1" applyFont="1" applyBorder="1" applyAlignment="1">
      <alignment horizontal="center" vertical="center"/>
    </xf>
    <xf numFmtId="0" fontId="0" fillId="22" borderId="75" xfId="0" applyFill="1" applyBorder="1" applyAlignment="1">
      <alignment horizontal="center" vertical="center" wrapText="1"/>
    </xf>
    <xf numFmtId="0" fontId="0" fillId="22" borderId="76" xfId="0" applyFill="1" applyBorder="1" applyAlignment="1">
      <alignment horizontal="center" vertical="center" wrapText="1"/>
    </xf>
    <xf numFmtId="0" fontId="0" fillId="22" borderId="77" xfId="0" applyFill="1" applyBorder="1" applyAlignment="1">
      <alignment horizontal="center" vertical="center" wrapText="1"/>
    </xf>
    <xf numFmtId="0" fontId="54" fillId="22" borderId="6" xfId="0" applyFont="1" applyFill="1" applyBorder="1" applyAlignment="1">
      <alignment horizontal="center" vertical="center" wrapText="1"/>
    </xf>
    <xf numFmtId="1" fontId="59" fillId="0" borderId="17" xfId="1" applyNumberFormat="1" applyFont="1" applyBorder="1" applyAlignment="1">
      <alignment horizontal="center" vertical="center"/>
    </xf>
    <xf numFmtId="165" fontId="0" fillId="0" borderId="36" xfId="1" applyNumberFormat="1" applyFont="1" applyBorder="1"/>
    <xf numFmtId="2" fontId="54" fillId="0" borderId="14" xfId="0" applyNumberFormat="1" applyFont="1" applyBorder="1"/>
    <xf numFmtId="0" fontId="64" fillId="17" borderId="2" xfId="0" applyFont="1" applyFill="1" applyBorder="1" applyAlignment="1">
      <alignment horizontal="center" vertical="center"/>
    </xf>
    <xf numFmtId="0" fontId="0" fillId="17" borderId="5" xfId="0" applyFill="1" applyBorder="1" applyAlignment="1">
      <alignment horizontal="center" vertical="center" wrapText="1"/>
    </xf>
    <xf numFmtId="165" fontId="68" fillId="0" borderId="1" xfId="1" applyNumberFormat="1" applyFont="1" applyFill="1" applyBorder="1" applyAlignment="1">
      <alignment horizontal="center" vertical="center"/>
    </xf>
    <xf numFmtId="0" fontId="54" fillId="0" borderId="93" xfId="0" applyFont="1" applyBorder="1" applyAlignment="1">
      <alignment horizontal="center" vertical="center" wrapText="1"/>
    </xf>
    <xf numFmtId="165" fontId="68" fillId="0" borderId="72" xfId="1" applyNumberFormat="1" applyFont="1" applyFill="1" applyBorder="1" applyAlignment="1">
      <alignment horizontal="center" vertical="center"/>
    </xf>
    <xf numFmtId="165" fontId="69" fillId="0" borderId="46" xfId="1" applyNumberFormat="1" applyFont="1" applyBorder="1" applyAlignment="1">
      <alignment horizontal="right" vertical="center"/>
    </xf>
    <xf numFmtId="165" fontId="68" fillId="0" borderId="4" xfId="1" applyNumberFormat="1" applyFont="1" applyFill="1" applyBorder="1" applyAlignment="1">
      <alignment horizontal="center" vertical="center"/>
    </xf>
    <xf numFmtId="184" fontId="0" fillId="0" borderId="1" xfId="0" applyNumberFormat="1" applyBorder="1" applyAlignment="1">
      <alignment vertical="center"/>
    </xf>
    <xf numFmtId="165" fontId="0" fillId="0" borderId="1" xfId="11" applyNumberFormat="1" applyFont="1" applyBorder="1" applyAlignment="1">
      <alignment vertical="center"/>
    </xf>
    <xf numFmtId="184" fontId="0" fillId="0" borderId="20" xfId="0" applyNumberFormat="1" applyBorder="1" applyAlignment="1">
      <alignment vertical="center"/>
    </xf>
    <xf numFmtId="165" fontId="0" fillId="0" borderId="21" xfId="11" applyNumberFormat="1" applyFont="1" applyBorder="1" applyAlignment="1">
      <alignment vertical="center"/>
    </xf>
    <xf numFmtId="184" fontId="0" fillId="0" borderId="22" xfId="0" applyNumberFormat="1" applyBorder="1" applyAlignment="1">
      <alignment vertical="center"/>
    </xf>
    <xf numFmtId="165" fontId="0" fillId="0" borderId="23" xfId="11" applyNumberFormat="1" applyFont="1" applyBorder="1" applyAlignment="1">
      <alignment vertical="center"/>
    </xf>
    <xf numFmtId="0" fontId="0" fillId="0" borderId="23" xfId="0" applyBorder="1" applyAlignment="1">
      <alignment vertical="center"/>
    </xf>
    <xf numFmtId="184" fontId="0" fillId="0" borderId="23" xfId="0" applyNumberFormat="1" applyBorder="1" applyAlignment="1">
      <alignment vertical="center"/>
    </xf>
    <xf numFmtId="0" fontId="0" fillId="0" borderId="24" xfId="0" applyBorder="1" applyAlignment="1">
      <alignment vertical="center"/>
    </xf>
    <xf numFmtId="0" fontId="0" fillId="0" borderId="23" xfId="0" applyBorder="1" applyAlignment="1">
      <alignment horizontal="center"/>
    </xf>
    <xf numFmtId="9" fontId="29" fillId="0" borderId="0" xfId="2" applyFont="1" applyBorder="1" applyAlignment="1" applyProtection="1">
      <alignment vertical="center"/>
    </xf>
    <xf numFmtId="9" fontId="29" fillId="8" borderId="0" xfId="2" applyFont="1" applyFill="1" applyBorder="1" applyAlignment="1">
      <alignment vertical="center"/>
    </xf>
    <xf numFmtId="9" fontId="29" fillId="0" borderId="1" xfId="2" applyFont="1" applyFill="1" applyBorder="1" applyAlignment="1" applyProtection="1">
      <alignment horizontal="right" vertical="center" readingOrder="1"/>
    </xf>
    <xf numFmtId="9" fontId="29" fillId="0" borderId="1" xfId="2" applyFont="1" applyFill="1" applyBorder="1" applyAlignment="1">
      <alignment horizontal="right" vertical="center"/>
    </xf>
    <xf numFmtId="43" fontId="29" fillId="0" borderId="18" xfId="1" applyFont="1" applyFill="1" applyBorder="1" applyAlignment="1">
      <alignment vertical="center"/>
    </xf>
    <xf numFmtId="43" fontId="29" fillId="0" borderId="1" xfId="1" applyFont="1" applyFill="1" applyBorder="1" applyAlignment="1">
      <alignment vertical="center"/>
    </xf>
    <xf numFmtId="165" fontId="29" fillId="0" borderId="1" xfId="1" applyNumberFormat="1" applyFont="1" applyFill="1" applyBorder="1" applyAlignment="1">
      <alignment vertical="center"/>
    </xf>
    <xf numFmtId="166" fontId="29" fillId="0" borderId="1" xfId="1" applyNumberFormat="1" applyFont="1" applyFill="1" applyBorder="1" applyAlignment="1">
      <alignment vertical="center"/>
    </xf>
    <xf numFmtId="165" fontId="29" fillId="0" borderId="23" xfId="1" applyNumberFormat="1" applyFont="1" applyFill="1" applyBorder="1" applyAlignment="1">
      <alignment vertical="center"/>
    </xf>
    <xf numFmtId="165" fontId="29" fillId="0" borderId="18" xfId="1" applyNumberFormat="1" applyFont="1" applyFill="1" applyBorder="1" applyAlignment="1">
      <alignment vertical="center"/>
    </xf>
    <xf numFmtId="9" fontId="29" fillId="0" borderId="18" xfId="2" applyFont="1" applyFill="1" applyBorder="1" applyAlignment="1" applyProtection="1">
      <alignment vertical="center"/>
    </xf>
    <xf numFmtId="9" fontId="29" fillId="0" borderId="1" xfId="2" applyFont="1" applyFill="1" applyBorder="1" applyAlignment="1" applyProtection="1">
      <alignment vertical="center"/>
    </xf>
    <xf numFmtId="9" fontId="29" fillId="0" borderId="23" xfId="2" applyFont="1" applyFill="1" applyBorder="1" applyAlignment="1" applyProtection="1">
      <alignment vertical="center"/>
    </xf>
    <xf numFmtId="9" fontId="29" fillId="0" borderId="23" xfId="2" applyFont="1" applyFill="1" applyBorder="1" applyAlignment="1">
      <alignment vertical="center"/>
    </xf>
    <xf numFmtId="165" fontId="5" fillId="0" borderId="7" xfId="1" applyNumberFormat="1" applyFont="1" applyBorder="1" applyAlignment="1" applyProtection="1">
      <alignment horizontal="center" vertical="center"/>
      <protection locked="0"/>
    </xf>
    <xf numFmtId="0" fontId="70" fillId="25" borderId="0" xfId="0" applyFont="1" applyFill="1" applyAlignment="1">
      <alignment horizontal="center" vertical="center"/>
    </xf>
    <xf numFmtId="0" fontId="70" fillId="25" borderId="32" xfId="0" applyFont="1" applyFill="1" applyBorder="1" applyAlignment="1">
      <alignment horizontal="center" vertical="center"/>
    </xf>
    <xf numFmtId="0" fontId="70" fillId="25" borderId="33" xfId="0" applyFont="1" applyFill="1" applyBorder="1" applyAlignment="1">
      <alignment horizontal="center" vertical="center"/>
    </xf>
    <xf numFmtId="0" fontId="70" fillId="25" borderId="34" xfId="0" applyFont="1" applyFill="1" applyBorder="1" applyAlignment="1">
      <alignment horizontal="center" vertical="center"/>
    </xf>
    <xf numFmtId="0" fontId="56" fillId="32" borderId="1" xfId="17" applyFill="1" applyBorder="1" applyAlignment="1">
      <alignment horizontal="center" vertical="center"/>
    </xf>
    <xf numFmtId="0" fontId="0" fillId="0" borderId="1" xfId="0" applyBorder="1" applyAlignment="1">
      <alignment horizontal="right" vertical="center"/>
    </xf>
    <xf numFmtId="165" fontId="0" fillId="0" borderId="1" xfId="0" applyNumberFormat="1" applyBorder="1"/>
    <xf numFmtId="165" fontId="0" fillId="0" borderId="1" xfId="1" applyNumberFormat="1" applyFont="1" applyBorder="1" applyAlignment="1">
      <alignment vertical="center"/>
    </xf>
    <xf numFmtId="0" fontId="56" fillId="25" borderId="0" xfId="0" applyFont="1" applyFill="1" applyAlignment="1">
      <alignment horizontal="center" vertical="center"/>
    </xf>
    <xf numFmtId="183" fontId="0" fillId="0" borderId="0" xfId="0" applyNumberFormat="1"/>
    <xf numFmtId="0" fontId="54" fillId="42" borderId="32" xfId="0" applyFont="1" applyFill="1" applyBorder="1" applyAlignment="1">
      <alignment horizontal="center"/>
    </xf>
    <xf numFmtId="0" fontId="54" fillId="42" borderId="33" xfId="0" applyFont="1" applyFill="1" applyBorder="1" applyAlignment="1">
      <alignment horizontal="center"/>
    </xf>
    <xf numFmtId="17" fontId="54" fillId="14" borderId="33" xfId="0" applyNumberFormat="1" applyFont="1" applyFill="1" applyBorder="1" applyAlignment="1">
      <alignment horizontal="center"/>
    </xf>
    <xf numFmtId="0" fontId="98" fillId="0" borderId="0" xfId="0" applyFont="1" applyAlignment="1">
      <alignment horizontal="center"/>
    </xf>
    <xf numFmtId="165" fontId="0" fillId="2" borderId="72" xfId="1" applyNumberFormat="1" applyFont="1" applyFill="1" applyBorder="1" applyAlignment="1">
      <alignment vertical="center"/>
    </xf>
    <xf numFmtId="165" fontId="0" fillId="2" borderId="72" xfId="1" applyNumberFormat="1" applyFont="1" applyFill="1" applyBorder="1"/>
    <xf numFmtId="165" fontId="0" fillId="2" borderId="72" xfId="1" applyNumberFormat="1" applyFont="1" applyFill="1" applyBorder="1" applyAlignment="1">
      <alignment horizontal="center" vertical="center"/>
    </xf>
    <xf numFmtId="0" fontId="99" fillId="0" borderId="0" xfId="0" applyFont="1"/>
    <xf numFmtId="165" fontId="0" fillId="2" borderId="1" xfId="1" applyNumberFormat="1" applyFont="1" applyFill="1" applyBorder="1"/>
    <xf numFmtId="0" fontId="0" fillId="6" borderId="20" xfId="0" applyFill="1" applyBorder="1" applyAlignment="1">
      <alignment horizontal="center"/>
    </xf>
    <xf numFmtId="0" fontId="0" fillId="6" borderId="1" xfId="0" applyFill="1" applyBorder="1"/>
    <xf numFmtId="0" fontId="0" fillId="12" borderId="20" xfId="0" applyFill="1" applyBorder="1" applyAlignment="1">
      <alignment horizontal="center"/>
    </xf>
    <xf numFmtId="0" fontId="0" fillId="12" borderId="1" xfId="0" applyFill="1" applyBorder="1"/>
    <xf numFmtId="165" fontId="0" fillId="2" borderId="1" xfId="1" applyNumberFormat="1" applyFont="1" applyFill="1" applyBorder="1" applyAlignment="1">
      <alignment vertical="center"/>
    </xf>
    <xf numFmtId="0" fontId="0" fillId="0" borderId="47" xfId="0" applyBorder="1" applyAlignment="1">
      <alignment horizontal="center"/>
    </xf>
    <xf numFmtId="165" fontId="0" fillId="0" borderId="4" xfId="1" applyNumberFormat="1" applyFont="1" applyBorder="1"/>
    <xf numFmtId="165" fontId="0" fillId="2" borderId="4" xfId="1" applyNumberFormat="1" applyFont="1" applyFill="1" applyBorder="1" applyAlignment="1">
      <alignment vertical="center"/>
    </xf>
    <xf numFmtId="165" fontId="0" fillId="2" borderId="4" xfId="1" applyNumberFormat="1" applyFont="1" applyFill="1" applyBorder="1"/>
    <xf numFmtId="165" fontId="54" fillId="0" borderId="75" xfId="1" applyNumberFormat="1" applyFont="1" applyBorder="1"/>
    <xf numFmtId="165" fontId="54" fillId="0" borderId="77" xfId="1" applyNumberFormat="1" applyFont="1" applyBorder="1"/>
    <xf numFmtId="165" fontId="54" fillId="2" borderId="43" xfId="1" applyNumberFormat="1" applyFont="1" applyFill="1" applyBorder="1" applyAlignment="1"/>
    <xf numFmtId="165" fontId="54" fillId="2" borderId="43" xfId="1" applyNumberFormat="1" applyFont="1" applyFill="1" applyBorder="1" applyAlignment="1">
      <alignment horizontal="center" vertical="center"/>
    </xf>
    <xf numFmtId="165" fontId="54" fillId="2" borderId="43" xfId="1" applyNumberFormat="1" applyFont="1" applyFill="1" applyBorder="1"/>
    <xf numFmtId="0" fontId="54" fillId="0" borderId="0" xfId="0" applyFont="1" applyAlignment="1">
      <alignment horizontal="right"/>
    </xf>
    <xf numFmtId="167" fontId="54" fillId="0" borderId="32" xfId="0" applyNumberFormat="1" applyFont="1" applyBorder="1"/>
    <xf numFmtId="167" fontId="54" fillId="0" borderId="33" xfId="0" applyNumberFormat="1" applyFont="1" applyBorder="1"/>
    <xf numFmtId="167" fontId="54" fillId="0" borderId="34" xfId="0" applyNumberFormat="1" applyFont="1" applyBorder="1"/>
    <xf numFmtId="167" fontId="54" fillId="0" borderId="0" xfId="0" applyNumberFormat="1" applyFont="1"/>
    <xf numFmtId="169" fontId="54" fillId="0" borderId="0" xfId="0" applyNumberFormat="1" applyFont="1"/>
    <xf numFmtId="0" fontId="0" fillId="43" borderId="2" xfId="0" applyFill="1" applyBorder="1" applyAlignment="1">
      <alignment horizontal="right"/>
    </xf>
    <xf numFmtId="0" fontId="54" fillId="43" borderId="2" xfId="0" applyFont="1" applyFill="1" applyBorder="1" applyAlignment="1">
      <alignment horizontal="right" vertical="top"/>
    </xf>
    <xf numFmtId="165" fontId="54" fillId="34" borderId="12" xfId="0" applyNumberFormat="1" applyFont="1" applyFill="1" applyBorder="1"/>
    <xf numFmtId="165" fontId="54" fillId="43" borderId="56" xfId="1" applyNumberFormat="1" applyFont="1" applyFill="1" applyBorder="1"/>
    <xf numFmtId="165" fontId="54" fillId="43" borderId="55" xfId="1" applyNumberFormat="1" applyFont="1" applyFill="1" applyBorder="1"/>
    <xf numFmtId="0" fontId="54" fillId="43" borderId="5" xfId="0" applyFont="1" applyFill="1" applyBorder="1" applyAlignment="1">
      <alignment horizontal="right" vertical="top"/>
    </xf>
    <xf numFmtId="165" fontId="54" fillId="43" borderId="34" xfId="1" applyNumberFormat="1" applyFont="1" applyFill="1" applyBorder="1"/>
    <xf numFmtId="165" fontId="54" fillId="43" borderId="33" xfId="1" applyNumberFormat="1" applyFont="1" applyFill="1" applyBorder="1"/>
    <xf numFmtId="165" fontId="54" fillId="43" borderId="32" xfId="1" applyNumberFormat="1" applyFont="1" applyFill="1" applyBorder="1"/>
    <xf numFmtId="165" fontId="54" fillId="34" borderId="44" xfId="1" applyNumberFormat="1" applyFont="1" applyFill="1" applyBorder="1"/>
    <xf numFmtId="3" fontId="54" fillId="24" borderId="34" xfId="0" applyNumberFormat="1" applyFont="1" applyFill="1" applyBorder="1"/>
    <xf numFmtId="3" fontId="54" fillId="24" borderId="33" xfId="0" applyNumberFormat="1" applyFont="1" applyFill="1" applyBorder="1"/>
    <xf numFmtId="165" fontId="54" fillId="24" borderId="33" xfId="1" applyNumberFormat="1" applyFont="1" applyFill="1" applyBorder="1"/>
    <xf numFmtId="3" fontId="54" fillId="24" borderId="32" xfId="0" applyNumberFormat="1" applyFont="1" applyFill="1" applyBorder="1"/>
    <xf numFmtId="0" fontId="54" fillId="24" borderId="5" xfId="0" applyFont="1" applyFill="1" applyBorder="1" applyAlignment="1">
      <alignment horizontal="right" vertical="top"/>
    </xf>
    <xf numFmtId="165" fontId="0" fillId="34" borderId="10" xfId="0" applyNumberFormat="1" applyFill="1" applyBorder="1"/>
    <xf numFmtId="165" fontId="86" fillId="34" borderId="30" xfId="1" applyNumberFormat="1" applyFont="1" applyFill="1" applyBorder="1" applyAlignment="1">
      <alignment vertical="top"/>
    </xf>
    <xf numFmtId="43" fontId="0" fillId="7" borderId="48" xfId="1" applyFont="1" applyFill="1" applyBorder="1"/>
    <xf numFmtId="165" fontId="0" fillId="7" borderId="4" xfId="1" applyNumberFormat="1" applyFont="1" applyFill="1" applyBorder="1"/>
    <xf numFmtId="43" fontId="0" fillId="7" borderId="4" xfId="1" applyFont="1" applyFill="1" applyBorder="1" applyAlignment="1">
      <alignment horizontal="right" vertical="top"/>
    </xf>
    <xf numFmtId="165" fontId="0" fillId="7" borderId="51" xfId="1" applyNumberFormat="1" applyFont="1" applyFill="1" applyBorder="1"/>
    <xf numFmtId="165" fontId="0" fillId="7" borderId="4" xfId="1" applyNumberFormat="1" applyFont="1" applyFill="1" applyBorder="1" applyAlignment="1">
      <alignment horizontal="center" vertical="center"/>
    </xf>
    <xf numFmtId="165" fontId="0" fillId="7" borderId="4" xfId="1" applyNumberFormat="1" applyFont="1" applyFill="1" applyBorder="1" applyAlignment="1">
      <alignment horizontal="right" vertical="top"/>
    </xf>
    <xf numFmtId="165" fontId="0" fillId="7" borderId="47" xfId="1" applyNumberFormat="1" applyFont="1" applyFill="1" applyBorder="1" applyAlignment="1">
      <alignment horizontal="right" vertical="top"/>
    </xf>
    <xf numFmtId="0" fontId="0" fillId="44" borderId="10" xfId="0" applyFill="1" applyBorder="1" applyAlignment="1">
      <alignment vertical="top"/>
    </xf>
    <xf numFmtId="165" fontId="0" fillId="34" borderId="9" xfId="0" applyNumberFormat="1" applyFill="1" applyBorder="1"/>
    <xf numFmtId="165" fontId="86" fillId="34" borderId="28" xfId="1" applyNumberFormat="1" applyFont="1" applyFill="1" applyBorder="1" applyAlignment="1">
      <alignment vertical="top"/>
    </xf>
    <xf numFmtId="165" fontId="0" fillId="7" borderId="21" xfId="1" applyNumberFormat="1" applyFont="1" applyFill="1" applyBorder="1"/>
    <xf numFmtId="165" fontId="0" fillId="7" borderId="1" xfId="1" applyNumberFormat="1" applyFont="1" applyFill="1" applyBorder="1"/>
    <xf numFmtId="165" fontId="0" fillId="7" borderId="1" xfId="1" applyNumberFormat="1" applyFont="1" applyFill="1" applyBorder="1" applyAlignment="1">
      <alignment horizontal="right"/>
    </xf>
    <xf numFmtId="165" fontId="0" fillId="7" borderId="3" xfId="1" applyNumberFormat="1" applyFont="1" applyFill="1" applyBorder="1"/>
    <xf numFmtId="165" fontId="0" fillId="7" borderId="1" xfId="1" applyNumberFormat="1" applyFont="1" applyFill="1" applyBorder="1" applyAlignment="1">
      <alignment horizontal="right" vertical="top"/>
    </xf>
    <xf numFmtId="165" fontId="0" fillId="7" borderId="20" xfId="1" applyNumberFormat="1" applyFont="1" applyFill="1" applyBorder="1" applyAlignment="1">
      <alignment horizontal="right" vertical="top"/>
    </xf>
    <xf numFmtId="0" fontId="0" fillId="44" borderId="9" xfId="0" applyFill="1" applyBorder="1" applyAlignment="1">
      <alignment vertical="top"/>
    </xf>
    <xf numFmtId="165" fontId="0" fillId="7" borderId="48" xfId="1" applyNumberFormat="1" applyFont="1" applyFill="1" applyBorder="1"/>
    <xf numFmtId="165" fontId="0" fillId="7" borderId="51" xfId="1" applyNumberFormat="1" applyFont="1" applyFill="1" applyBorder="1" applyAlignment="1">
      <alignment horizontal="right" vertical="top"/>
    </xf>
    <xf numFmtId="0" fontId="0" fillId="44" borderId="29" xfId="0" applyFill="1" applyBorder="1" applyAlignment="1">
      <alignment vertical="top"/>
    </xf>
    <xf numFmtId="165" fontId="0" fillId="7" borderId="3" xfId="1" applyNumberFormat="1" applyFont="1" applyFill="1" applyBorder="1" applyAlignment="1">
      <alignment horizontal="right" vertical="top"/>
    </xf>
    <xf numFmtId="0" fontId="0" fillId="44" borderId="28" xfId="0" applyFill="1" applyBorder="1" applyAlignment="1">
      <alignment vertical="top"/>
    </xf>
    <xf numFmtId="165" fontId="0" fillId="34" borderId="14" xfId="0" applyNumberFormat="1" applyFill="1" applyBorder="1"/>
    <xf numFmtId="165" fontId="86" fillId="34" borderId="70" xfId="1" applyNumberFormat="1" applyFont="1" applyFill="1" applyBorder="1" applyAlignment="1">
      <alignment vertical="top"/>
    </xf>
    <xf numFmtId="165" fontId="0" fillId="7" borderId="19" xfId="1" applyNumberFormat="1" applyFont="1" applyFill="1" applyBorder="1"/>
    <xf numFmtId="165" fontId="0" fillId="7" borderId="18" xfId="1" applyNumberFormat="1" applyFont="1" applyFill="1" applyBorder="1"/>
    <xf numFmtId="165" fontId="0" fillId="7" borderId="72" xfId="1" applyNumberFormat="1" applyFont="1" applyFill="1" applyBorder="1"/>
    <xf numFmtId="165" fontId="0" fillId="7" borderId="72" xfId="1" applyNumberFormat="1" applyFont="1" applyFill="1" applyBorder="1" applyAlignment="1">
      <alignment horizontal="right"/>
    </xf>
    <xf numFmtId="165" fontId="0" fillId="7" borderId="25" xfId="1" applyNumberFormat="1" applyFont="1" applyFill="1" applyBorder="1"/>
    <xf numFmtId="165" fontId="0" fillId="7" borderId="25" xfId="1" applyNumberFormat="1" applyFont="1" applyFill="1" applyBorder="1" applyAlignment="1">
      <alignment horizontal="right" vertical="top"/>
    </xf>
    <xf numFmtId="165" fontId="0" fillId="7" borderId="17" xfId="1" applyNumberFormat="1" applyFont="1" applyFill="1" applyBorder="1" applyAlignment="1">
      <alignment horizontal="right" vertical="top"/>
    </xf>
    <xf numFmtId="0" fontId="0" fillId="44" borderId="70" xfId="0" applyFill="1" applyBorder="1" applyAlignment="1">
      <alignment vertical="top"/>
    </xf>
    <xf numFmtId="0" fontId="54" fillId="34" borderId="2" xfId="0" applyFont="1" applyFill="1" applyBorder="1" applyAlignment="1">
      <alignment horizontal="center" vertical="center" wrapText="1"/>
    </xf>
    <xf numFmtId="0" fontId="54" fillId="34" borderId="6" xfId="0" applyFont="1" applyFill="1" applyBorder="1" applyAlignment="1">
      <alignment horizontal="center" vertical="center" wrapText="1"/>
    </xf>
    <xf numFmtId="0" fontId="54" fillId="10" borderId="12" xfId="0" applyFont="1" applyFill="1" applyBorder="1" applyAlignment="1">
      <alignment horizontal="center" vertical="center" wrapText="1"/>
    </xf>
    <xf numFmtId="0" fontId="54" fillId="10" borderId="5" xfId="0" applyFont="1" applyFill="1" applyBorder="1" applyAlignment="1">
      <alignment horizontal="center" vertical="center"/>
    </xf>
    <xf numFmtId="0" fontId="100" fillId="0" borderId="0" xfId="0" applyFont="1"/>
    <xf numFmtId="165" fontId="47" fillId="0" borderId="0" xfId="1" applyNumberFormat="1" applyFont="1" applyBorder="1" applyProtection="1"/>
    <xf numFmtId="0" fontId="102" fillId="0" borderId="0" xfId="0" applyFont="1"/>
    <xf numFmtId="165" fontId="47" fillId="0" borderId="2" xfId="1" applyNumberFormat="1" applyFont="1" applyBorder="1" applyProtection="1"/>
    <xf numFmtId="0" fontId="103" fillId="0" borderId="2" xfId="0" applyFont="1" applyBorder="1"/>
    <xf numFmtId="0" fontId="104" fillId="0" borderId="2" xfId="0" applyFont="1" applyBorder="1"/>
    <xf numFmtId="165" fontId="47" fillId="0" borderId="10" xfId="1" applyNumberFormat="1" applyFont="1" applyBorder="1" applyProtection="1"/>
    <xf numFmtId="0" fontId="104" fillId="0" borderId="10" xfId="0" applyFont="1" applyBorder="1"/>
    <xf numFmtId="165" fontId="47" fillId="0" borderId="9" xfId="1" applyNumberFormat="1" applyFont="1" applyBorder="1" applyProtection="1"/>
    <xf numFmtId="165" fontId="0" fillId="0" borderId="21" xfId="1" applyNumberFormat="1" applyFont="1" applyBorder="1" applyAlignment="1" applyProtection="1">
      <alignment horizontal="center"/>
      <protection locked="0"/>
    </xf>
    <xf numFmtId="0" fontId="104" fillId="0" borderId="9" xfId="0" applyFont="1" applyBorder="1"/>
    <xf numFmtId="165" fontId="47" fillId="0" borderId="14" xfId="1" applyNumberFormat="1" applyFont="1" applyBorder="1" applyProtection="1"/>
    <xf numFmtId="165" fontId="47" fillId="0" borderId="8" xfId="1" applyNumberFormat="1" applyFont="1" applyBorder="1" applyProtection="1"/>
    <xf numFmtId="0" fontId="104" fillId="0" borderId="8" xfId="0" applyFont="1" applyBorder="1"/>
    <xf numFmtId="0" fontId="103" fillId="0" borderId="2" xfId="0" applyFont="1" applyBorder="1" applyAlignment="1">
      <alignment horizontal="center" vertical="center" wrapText="1"/>
    </xf>
    <xf numFmtId="0" fontId="103" fillId="0" borderId="2" xfId="0" applyFont="1" applyBorder="1" applyAlignment="1">
      <alignment horizontal="center" vertical="center"/>
    </xf>
    <xf numFmtId="0" fontId="103" fillId="0" borderId="0" xfId="0" applyFont="1" applyAlignment="1">
      <alignment horizontal="center" vertical="center" wrapText="1"/>
    </xf>
    <xf numFmtId="0" fontId="104" fillId="0" borderId="2" xfId="0" applyFont="1" applyBorder="1" applyAlignment="1">
      <alignment horizontal="center" vertical="center"/>
    </xf>
    <xf numFmtId="0" fontId="106" fillId="0" borderId="0" xfId="0" applyFont="1"/>
    <xf numFmtId="165" fontId="47" fillId="0" borderId="1" xfId="1" applyNumberFormat="1" applyFont="1" applyBorder="1" applyProtection="1">
      <protection locked="0"/>
    </xf>
    <xf numFmtId="165" fontId="47" fillId="0" borderId="72" xfId="1" applyNumberFormat="1" applyFont="1" applyBorder="1" applyProtection="1">
      <protection locked="0"/>
    </xf>
    <xf numFmtId="165" fontId="47" fillId="0" borderId="4" xfId="1" applyNumberFormat="1" applyFont="1" applyBorder="1" applyProtection="1">
      <protection locked="0"/>
    </xf>
    <xf numFmtId="0" fontId="54" fillId="12" borderId="30" xfId="0" applyFont="1" applyFill="1" applyBorder="1" applyAlignment="1">
      <alignment horizontal="center"/>
    </xf>
    <xf numFmtId="0" fontId="0" fillId="0" borderId="12" xfId="0" applyBorder="1" applyAlignment="1">
      <alignment horizontal="center" vertical="center"/>
    </xf>
    <xf numFmtId="0" fontId="0" fillId="0" borderId="44" xfId="0" applyBorder="1" applyAlignment="1">
      <alignment horizontal="center" vertical="center"/>
    </xf>
    <xf numFmtId="9" fontId="0" fillId="0" borderId="2" xfId="2" applyFont="1" applyBorder="1" applyAlignment="1">
      <alignment horizontal="center" vertical="center"/>
    </xf>
    <xf numFmtId="181" fontId="0" fillId="0" borderId="14" xfId="12" applyNumberFormat="1" applyFont="1" applyBorder="1" applyAlignment="1">
      <alignment vertical="top"/>
    </xf>
    <xf numFmtId="181" fontId="0" fillId="0" borderId="45" xfId="12" applyNumberFormat="1" applyFont="1" applyBorder="1" applyAlignment="1">
      <alignment vertical="top"/>
    </xf>
    <xf numFmtId="181" fontId="0" fillId="0" borderId="45" xfId="12" applyNumberFormat="1" applyFont="1" applyBorder="1" applyProtection="1">
      <protection locked="0"/>
    </xf>
    <xf numFmtId="9" fontId="0" fillId="0" borderId="64" xfId="2" applyFont="1" applyBorder="1" applyProtection="1">
      <protection locked="0"/>
    </xf>
    <xf numFmtId="0" fontId="0" fillId="0" borderId="3" xfId="0" applyBorder="1" applyAlignment="1">
      <alignment horizontal="center"/>
    </xf>
    <xf numFmtId="181" fontId="0" fillId="0" borderId="9" xfId="12" applyNumberFormat="1" applyFont="1" applyBorder="1" applyAlignment="1">
      <alignment vertical="top"/>
    </xf>
    <xf numFmtId="181" fontId="0" fillId="0" borderId="38" xfId="12" applyNumberFormat="1" applyFont="1" applyBorder="1" applyAlignment="1">
      <alignment vertical="top"/>
    </xf>
    <xf numFmtId="181" fontId="0" fillId="0" borderId="27" xfId="12" applyNumberFormat="1" applyFont="1" applyBorder="1"/>
    <xf numFmtId="181" fontId="0" fillId="0" borderId="38" xfId="12" applyNumberFormat="1" applyFont="1" applyBorder="1" applyProtection="1">
      <protection locked="0"/>
    </xf>
    <xf numFmtId="181" fontId="0" fillId="0" borderId="9" xfId="12" applyNumberFormat="1" applyFont="1" applyBorder="1" applyProtection="1">
      <protection locked="0"/>
    </xf>
    <xf numFmtId="0" fontId="0" fillId="0" borderId="51" xfId="0" applyBorder="1" applyAlignment="1">
      <alignment horizontal="center"/>
    </xf>
    <xf numFmtId="181" fontId="0" fillId="0" borderId="10" xfId="12" applyNumberFormat="1" applyFont="1" applyBorder="1" applyProtection="1">
      <protection locked="0"/>
    </xf>
    <xf numFmtId="181" fontId="0" fillId="0" borderId="71" xfId="12" applyNumberFormat="1" applyFont="1" applyBorder="1" applyProtection="1">
      <protection locked="0"/>
    </xf>
    <xf numFmtId="0" fontId="54" fillId="20" borderId="70" xfId="0" applyFont="1" applyFill="1" applyBorder="1" applyAlignment="1">
      <alignment horizontal="right"/>
    </xf>
    <xf numFmtId="181" fontId="54" fillId="20" borderId="8" xfId="12" applyNumberFormat="1" applyFont="1" applyFill="1" applyBorder="1"/>
    <xf numFmtId="181" fontId="54" fillId="20" borderId="49" xfId="12" applyNumberFormat="1" applyFont="1" applyFill="1" applyBorder="1"/>
    <xf numFmtId="9" fontId="54" fillId="20" borderId="35" xfId="2" applyFont="1" applyFill="1" applyBorder="1"/>
    <xf numFmtId="0" fontId="54" fillId="20" borderId="30" xfId="0" applyFont="1" applyFill="1" applyBorder="1" applyAlignment="1">
      <alignment horizontal="right"/>
    </xf>
    <xf numFmtId="9" fontId="0" fillId="20" borderId="10" xfId="2" applyFont="1" applyFill="1" applyBorder="1"/>
    <xf numFmtId="9" fontId="0" fillId="20" borderId="71" xfId="2" applyFont="1" applyFill="1" applyBorder="1"/>
    <xf numFmtId="9" fontId="54" fillId="20" borderId="71" xfId="2" applyFont="1" applyFill="1" applyBorder="1"/>
    <xf numFmtId="0" fontId="0" fillId="47" borderId="6" xfId="0" applyFill="1" applyBorder="1" applyAlignment="1">
      <alignment horizontal="center" vertical="center"/>
    </xf>
    <xf numFmtId="0" fontId="0" fillId="48" borderId="32" xfId="0" applyFill="1" applyBorder="1" applyAlignment="1">
      <alignment horizontal="center" vertical="center" wrapText="1"/>
    </xf>
    <xf numFmtId="0" fontId="0" fillId="48" borderId="33" xfId="0" applyFill="1" applyBorder="1" applyAlignment="1">
      <alignment horizontal="center" vertical="center" wrapText="1"/>
    </xf>
    <xf numFmtId="0" fontId="0" fillId="48" borderId="12" xfId="0" applyFill="1" applyBorder="1" applyAlignment="1">
      <alignment horizontal="center" vertical="center" wrapText="1"/>
    </xf>
    <xf numFmtId="0" fontId="0" fillId="48" borderId="41" xfId="0" applyFill="1" applyBorder="1" applyAlignment="1">
      <alignment horizontal="center" vertical="center" wrapText="1"/>
    </xf>
    <xf numFmtId="0" fontId="0" fillId="48" borderId="80" xfId="0" applyFill="1" applyBorder="1" applyAlignment="1">
      <alignment horizontal="center" vertical="center" wrapText="1"/>
    </xf>
    <xf numFmtId="0" fontId="0" fillId="48" borderId="77" xfId="0" applyFill="1" applyBorder="1" applyAlignment="1">
      <alignment horizontal="center" vertical="center" wrapText="1"/>
    </xf>
    <xf numFmtId="0" fontId="54" fillId="48" borderId="6" xfId="0" applyFont="1" applyFill="1" applyBorder="1" applyAlignment="1">
      <alignment horizontal="center" vertical="center" wrapText="1"/>
    </xf>
    <xf numFmtId="0" fontId="54" fillId="20" borderId="32" xfId="0" applyFont="1" applyFill="1" applyBorder="1" applyAlignment="1">
      <alignment horizontal="center" vertical="center"/>
    </xf>
    <xf numFmtId="0" fontId="0" fillId="20" borderId="33" xfId="0" applyFill="1" applyBorder="1" applyAlignment="1">
      <alignment horizontal="center" vertical="center" wrapText="1"/>
    </xf>
    <xf numFmtId="0" fontId="54" fillId="20" borderId="33" xfId="0" applyFont="1" applyFill="1" applyBorder="1" applyAlignment="1">
      <alignment horizontal="center" vertical="center" wrapText="1"/>
    </xf>
    <xf numFmtId="0" fontId="0" fillId="20" borderId="50" xfId="0" applyFill="1" applyBorder="1" applyAlignment="1">
      <alignment horizontal="center" vertical="center" wrapText="1"/>
    </xf>
    <xf numFmtId="0" fontId="54" fillId="20" borderId="50" xfId="0" applyFont="1" applyFill="1" applyBorder="1" applyAlignment="1">
      <alignment horizontal="center" vertical="center" wrapText="1"/>
    </xf>
    <xf numFmtId="0" fontId="0" fillId="20" borderId="50" xfId="0" applyFill="1" applyBorder="1" applyAlignment="1">
      <alignment horizontal="center" vertical="center"/>
    </xf>
    <xf numFmtId="0" fontId="54" fillId="20" borderId="34" xfId="0" applyFont="1" applyFill="1" applyBorder="1" applyAlignment="1">
      <alignment horizontal="center" vertical="center"/>
    </xf>
    <xf numFmtId="0" fontId="0" fillId="34" borderId="50" xfId="0" applyFill="1" applyBorder="1" applyAlignment="1">
      <alignment horizontal="center" vertical="center" wrapText="1"/>
    </xf>
    <xf numFmtId="0" fontId="54" fillId="21" borderId="7" xfId="0" applyFont="1" applyFill="1" applyBorder="1" applyAlignment="1">
      <alignment horizontal="center" vertical="center" wrapText="1"/>
    </xf>
    <xf numFmtId="17" fontId="0" fillId="49" borderId="8" xfId="0" applyNumberFormat="1" applyFill="1" applyBorder="1" applyAlignment="1">
      <alignment horizontal="center"/>
    </xf>
    <xf numFmtId="165" fontId="107" fillId="0" borderId="49" xfId="1" applyNumberFormat="1" applyFont="1" applyFill="1" applyBorder="1"/>
    <xf numFmtId="175" fontId="0" fillId="0" borderId="18" xfId="1" applyNumberFormat="1" applyFont="1" applyFill="1" applyBorder="1"/>
    <xf numFmtId="182" fontId="0" fillId="0" borderId="19" xfId="1" applyNumberFormat="1" applyFont="1" applyFill="1" applyBorder="1"/>
    <xf numFmtId="165" fontId="107" fillId="0" borderId="17" xfId="1" applyNumberFormat="1" applyFont="1" applyFill="1" applyBorder="1"/>
    <xf numFmtId="43" fontId="0" fillId="0" borderId="18" xfId="1" applyFont="1" applyFill="1" applyBorder="1"/>
    <xf numFmtId="43" fontId="0" fillId="0" borderId="19" xfId="1" applyFont="1" applyFill="1" applyBorder="1"/>
    <xf numFmtId="43" fontId="54" fillId="0" borderId="70" xfId="1" applyFont="1" applyFill="1" applyBorder="1"/>
    <xf numFmtId="182" fontId="107" fillId="0" borderId="81" xfId="1" applyNumberFormat="1" applyFont="1" applyFill="1" applyBorder="1"/>
    <xf numFmtId="165" fontId="107" fillId="0" borderId="72" xfId="1" applyNumberFormat="1" applyFont="1" applyFill="1" applyBorder="1"/>
    <xf numFmtId="182" fontId="54" fillId="0" borderId="72" xfId="1" applyNumberFormat="1" applyFont="1" applyFill="1" applyBorder="1"/>
    <xf numFmtId="0" fontId="107" fillId="0" borderId="72" xfId="0" applyFont="1" applyBorder="1"/>
    <xf numFmtId="0" fontId="54" fillId="0" borderId="72" xfId="0" applyFont="1" applyBorder="1"/>
    <xf numFmtId="182" fontId="54" fillId="0" borderId="19" xfId="1" applyNumberFormat="1" applyFont="1" applyFill="1" applyBorder="1"/>
    <xf numFmtId="165" fontId="107" fillId="0" borderId="94" xfId="1" applyNumberFormat="1" applyFont="1" applyFill="1" applyBorder="1"/>
    <xf numFmtId="182" fontId="54" fillId="0" borderId="8" xfId="1" applyNumberFormat="1" applyFont="1" applyFill="1" applyBorder="1"/>
    <xf numFmtId="17" fontId="0" fillId="49" borderId="9" xfId="0" applyNumberFormat="1" applyFill="1" applyBorder="1" applyAlignment="1">
      <alignment horizontal="center"/>
    </xf>
    <xf numFmtId="165" fontId="107" fillId="0" borderId="13" xfId="1" applyNumberFormat="1" applyFont="1" applyFill="1" applyBorder="1"/>
    <xf numFmtId="175" fontId="0" fillId="0" borderId="1" xfId="1" applyNumberFormat="1" applyFont="1" applyFill="1" applyBorder="1"/>
    <xf numFmtId="182" fontId="0" fillId="0" borderId="21" xfId="1" applyNumberFormat="1" applyFont="1" applyFill="1" applyBorder="1"/>
    <xf numFmtId="165" fontId="107" fillId="0" borderId="20" xfId="1" applyNumberFormat="1" applyFont="1" applyFill="1" applyBorder="1"/>
    <xf numFmtId="43" fontId="0" fillId="0" borderId="1" xfId="1" applyFont="1" applyFill="1" applyBorder="1"/>
    <xf numFmtId="43" fontId="54" fillId="0" borderId="28" xfId="1" applyFont="1" applyFill="1" applyBorder="1"/>
    <xf numFmtId="43" fontId="107" fillId="0" borderId="20" xfId="1" applyFont="1" applyFill="1" applyBorder="1"/>
    <xf numFmtId="165" fontId="107" fillId="0" borderId="1" xfId="1" applyNumberFormat="1" applyFont="1" applyFill="1" applyBorder="1"/>
    <xf numFmtId="182" fontId="54" fillId="0" borderId="1" xfId="1" applyNumberFormat="1" applyFont="1" applyFill="1" applyBorder="1"/>
    <xf numFmtId="0" fontId="107" fillId="0" borderId="1" xfId="0" applyFont="1" applyBorder="1"/>
    <xf numFmtId="182" fontId="54" fillId="0" borderId="21" xfId="1" applyNumberFormat="1" applyFont="1" applyFill="1" applyBorder="1"/>
    <xf numFmtId="165" fontId="107" fillId="0" borderId="84" xfId="1" applyNumberFormat="1" applyFont="1" applyFill="1" applyBorder="1"/>
    <xf numFmtId="182" fontId="54" fillId="0" borderId="9" xfId="1" applyNumberFormat="1" applyFont="1" applyFill="1" applyBorder="1"/>
    <xf numFmtId="182" fontId="107" fillId="0" borderId="20" xfId="1" applyNumberFormat="1" applyFont="1" applyFill="1" applyBorder="1"/>
    <xf numFmtId="165" fontId="107" fillId="0" borderId="79" xfId="1" applyNumberFormat="1" applyFont="1" applyFill="1" applyBorder="1"/>
    <xf numFmtId="175" fontId="0" fillId="0" borderId="23" xfId="1" applyNumberFormat="1" applyFont="1" applyFill="1" applyBorder="1"/>
    <xf numFmtId="182" fontId="0" fillId="0" borderId="24" xfId="1" applyNumberFormat="1" applyFont="1" applyFill="1" applyBorder="1"/>
    <xf numFmtId="165" fontId="107" fillId="0" borderId="47" xfId="1" applyNumberFormat="1" applyFont="1" applyFill="1" applyBorder="1"/>
    <xf numFmtId="43" fontId="0" fillId="0" borderId="4" xfId="1" applyFont="1" applyFill="1" applyBorder="1"/>
    <xf numFmtId="43" fontId="0" fillId="0" borderId="48" xfId="1" applyFont="1" applyFill="1" applyBorder="1"/>
    <xf numFmtId="43" fontId="54" fillId="0" borderId="30" xfId="1" applyFont="1" applyFill="1" applyBorder="1"/>
    <xf numFmtId="182" fontId="107" fillId="0" borderId="22" xfId="1" applyNumberFormat="1" applyFont="1" applyFill="1" applyBorder="1"/>
    <xf numFmtId="165" fontId="107" fillId="0" borderId="23" xfId="1" applyNumberFormat="1" applyFont="1" applyFill="1" applyBorder="1"/>
    <xf numFmtId="182" fontId="54" fillId="0" borderId="23" xfId="1" applyNumberFormat="1" applyFont="1" applyFill="1" applyBorder="1"/>
    <xf numFmtId="0" fontId="107" fillId="0" borderId="23" xfId="0" applyFont="1" applyBorder="1"/>
    <xf numFmtId="182" fontId="54" fillId="0" borderId="24" xfId="1" applyNumberFormat="1" applyFont="1" applyFill="1" applyBorder="1"/>
    <xf numFmtId="165" fontId="107" fillId="0" borderId="95" xfId="1" applyNumberFormat="1" applyFont="1" applyFill="1" applyBorder="1"/>
    <xf numFmtId="182" fontId="54" fillId="0" borderId="10" xfId="1" applyNumberFormat="1" applyFont="1" applyFill="1" applyBorder="1"/>
    <xf numFmtId="182" fontId="0" fillId="0" borderId="25" xfId="1" applyNumberFormat="1" applyFont="1" applyFill="1" applyBorder="1"/>
    <xf numFmtId="165" fontId="0" fillId="0" borderId="19" xfId="1" applyNumberFormat="1" applyFont="1" applyFill="1" applyBorder="1"/>
    <xf numFmtId="43" fontId="54" fillId="0" borderId="78" xfId="1" applyFont="1" applyFill="1" applyBorder="1"/>
    <xf numFmtId="182" fontId="54" fillId="0" borderId="64" xfId="1" applyNumberFormat="1" applyFont="1" applyFill="1" applyBorder="1"/>
    <xf numFmtId="165" fontId="107" fillId="0" borderId="78" xfId="1" applyNumberFormat="1" applyFont="1" applyFill="1" applyBorder="1"/>
    <xf numFmtId="182" fontId="54" fillId="0" borderId="14" xfId="1" applyNumberFormat="1" applyFont="1" applyFill="1" applyBorder="1"/>
    <xf numFmtId="182" fontId="0" fillId="0" borderId="3" xfId="1" applyNumberFormat="1" applyFont="1" applyFill="1" applyBorder="1"/>
    <xf numFmtId="165" fontId="0" fillId="0" borderId="21" xfId="1" applyNumberFormat="1" applyFont="1" applyFill="1" applyBorder="1"/>
    <xf numFmtId="43" fontId="54" fillId="0" borderId="84" xfId="1" applyFont="1" applyFill="1" applyBorder="1"/>
    <xf numFmtId="182" fontId="107" fillId="0" borderId="1" xfId="1" applyNumberFormat="1" applyFont="1" applyFill="1" applyBorder="1"/>
    <xf numFmtId="17" fontId="0" fillId="49" borderId="10" xfId="0" applyNumberFormat="1" applyFill="1" applyBorder="1" applyAlignment="1">
      <alignment horizontal="center"/>
    </xf>
    <xf numFmtId="182" fontId="0" fillId="0" borderId="26" xfId="1" applyNumberFormat="1" applyFont="1" applyFill="1" applyBorder="1"/>
    <xf numFmtId="43" fontId="0" fillId="0" borderId="23" xfId="1" applyFont="1" applyFill="1" applyBorder="1"/>
    <xf numFmtId="165" fontId="0" fillId="0" borderId="24" xfId="1" applyNumberFormat="1" applyFont="1" applyFill="1" applyBorder="1"/>
    <xf numFmtId="43" fontId="54" fillId="0" borderId="95" xfId="1" applyFont="1" applyFill="1" applyBorder="1"/>
    <xf numFmtId="182" fontId="107" fillId="0" borderId="23" xfId="1" applyNumberFormat="1" applyFont="1" applyFill="1" applyBorder="1"/>
    <xf numFmtId="182" fontId="54" fillId="0" borderId="15" xfId="1" applyNumberFormat="1" applyFont="1" applyFill="1" applyBorder="1"/>
    <xf numFmtId="0" fontId="77" fillId="0" borderId="0" xfId="0" applyFont="1"/>
    <xf numFmtId="165" fontId="0" fillId="0" borderId="5" xfId="0" applyNumberFormat="1" applyBorder="1"/>
    <xf numFmtId="43" fontId="0" fillId="0" borderId="12" xfId="1" applyFont="1" applyBorder="1"/>
    <xf numFmtId="2" fontId="0" fillId="0" borderId="0" xfId="0" applyNumberFormat="1" applyAlignment="1">
      <alignment horizontal="left"/>
    </xf>
    <xf numFmtId="0" fontId="54" fillId="2" borderId="0" xfId="0" applyFont="1" applyFill="1"/>
    <xf numFmtId="0" fontId="0" fillId="12" borderId="1" xfId="0" applyFill="1" applyBorder="1" applyAlignment="1">
      <alignment horizontal="center" vertical="center"/>
    </xf>
    <xf numFmtId="0" fontId="0" fillId="12" borderId="1" xfId="0" applyFill="1" applyBorder="1" applyAlignment="1">
      <alignment horizontal="center" vertical="center" wrapText="1"/>
    </xf>
    <xf numFmtId="0" fontId="0" fillId="23" borderId="2" xfId="0" applyFill="1" applyBorder="1" applyAlignment="1">
      <alignment horizontal="center" vertical="center" wrapText="1"/>
    </xf>
    <xf numFmtId="0" fontId="0" fillId="20" borderId="32" xfId="0" applyFill="1" applyBorder="1" applyAlignment="1">
      <alignment horizontal="center" vertical="center" wrapText="1"/>
    </xf>
    <xf numFmtId="0" fontId="0" fillId="20" borderId="46" xfId="0" applyFill="1" applyBorder="1" applyAlignment="1">
      <alignment horizontal="center" vertical="center" wrapText="1"/>
    </xf>
    <xf numFmtId="0" fontId="54" fillId="20" borderId="11" xfId="0" applyFont="1" applyFill="1" applyBorder="1" applyAlignment="1">
      <alignment horizontal="center" vertical="center" wrapText="1"/>
    </xf>
    <xf numFmtId="0" fontId="0" fillId="17" borderId="32" xfId="0" applyFill="1" applyBorder="1" applyAlignment="1">
      <alignment horizontal="center" vertical="center" wrapText="1"/>
    </xf>
    <xf numFmtId="0" fontId="0" fillId="17" borderId="33" xfId="0" applyFill="1" applyBorder="1" applyAlignment="1">
      <alignment horizontal="center" vertical="center" wrapText="1"/>
    </xf>
    <xf numFmtId="0" fontId="54" fillId="17" borderId="34" xfId="0" applyFont="1" applyFill="1" applyBorder="1" applyAlignment="1">
      <alignment horizontal="center" vertical="center" wrapText="1"/>
    </xf>
    <xf numFmtId="0" fontId="0" fillId="19" borderId="46" xfId="0" applyFill="1" applyBorder="1" applyAlignment="1">
      <alignment horizontal="center" vertical="center" wrapText="1"/>
    </xf>
    <xf numFmtId="0" fontId="0" fillId="19" borderId="33" xfId="0" applyFill="1" applyBorder="1" applyAlignment="1">
      <alignment horizontal="center" vertical="center" wrapText="1"/>
    </xf>
    <xf numFmtId="0" fontId="54" fillId="19" borderId="34" xfId="0" applyFont="1" applyFill="1" applyBorder="1" applyAlignment="1">
      <alignment horizontal="center" vertical="center"/>
    </xf>
    <xf numFmtId="0" fontId="0" fillId="16" borderId="32" xfId="0" applyFill="1" applyBorder="1" applyAlignment="1">
      <alignment horizontal="center" vertical="center" wrapText="1"/>
    </xf>
    <xf numFmtId="0" fontId="0" fillId="16" borderId="50" xfId="0" applyFill="1" applyBorder="1" applyAlignment="1">
      <alignment horizontal="center" vertical="center" wrapText="1"/>
    </xf>
    <xf numFmtId="0" fontId="54" fillId="16" borderId="34" xfId="0" applyFont="1" applyFill="1" applyBorder="1" applyAlignment="1">
      <alignment horizontal="center" vertical="center" wrapText="1"/>
    </xf>
    <xf numFmtId="0" fontId="0" fillId="13" borderId="43" xfId="0" applyFill="1" applyBorder="1" applyAlignment="1">
      <alignment horizontal="center" vertical="center" wrapText="1"/>
    </xf>
    <xf numFmtId="0" fontId="0" fillId="0" borderId="1" xfId="0" applyBorder="1" applyAlignment="1">
      <alignment horizontal="center" vertical="center" wrapText="1"/>
    </xf>
    <xf numFmtId="17" fontId="0" fillId="49" borderId="70" xfId="0" applyNumberFormat="1" applyFill="1" applyBorder="1" applyAlignment="1">
      <alignment horizontal="center" vertical="center"/>
    </xf>
    <xf numFmtId="165" fontId="59" fillId="0" borderId="17" xfId="1" applyNumberFormat="1" applyFont="1" applyFill="1" applyBorder="1" applyAlignment="1">
      <alignment horizontal="center" vertical="center"/>
    </xf>
    <xf numFmtId="0" fontId="0" fillId="0" borderId="18" xfId="0" applyBorder="1" applyAlignment="1">
      <alignment vertical="center"/>
    </xf>
    <xf numFmtId="165" fontId="54" fillId="0" borderId="19" xfId="0" applyNumberFormat="1" applyFont="1" applyBorder="1" applyAlignment="1">
      <alignment vertical="center"/>
    </xf>
    <xf numFmtId="165" fontId="59" fillId="0" borderId="81" xfId="1" applyNumberFormat="1" applyFont="1" applyFill="1" applyBorder="1" applyAlignment="1">
      <alignment vertical="center"/>
    </xf>
    <xf numFmtId="43" fontId="0" fillId="0" borderId="72" xfId="1" applyFont="1" applyFill="1" applyBorder="1" applyAlignment="1">
      <alignment vertical="center"/>
    </xf>
    <xf numFmtId="165" fontId="0" fillId="0" borderId="18" xfId="0" applyNumberFormat="1" applyBorder="1" applyAlignment="1">
      <alignment vertical="center"/>
    </xf>
    <xf numFmtId="165" fontId="54" fillId="0" borderId="72" xfId="1" applyNumberFormat="1" applyFont="1" applyFill="1" applyBorder="1" applyAlignment="1">
      <alignment vertical="center"/>
    </xf>
    <xf numFmtId="165" fontId="59" fillId="0" borderId="17" xfId="1" applyNumberFormat="1" applyFont="1" applyFill="1" applyBorder="1" applyAlignment="1">
      <alignment vertical="center"/>
    </xf>
    <xf numFmtId="43" fontId="0" fillId="0" borderId="18" xfId="1" applyFont="1" applyFill="1" applyBorder="1" applyAlignment="1">
      <alignment vertical="center"/>
    </xf>
    <xf numFmtId="165" fontId="54" fillId="0" borderId="19" xfId="1" applyNumberFormat="1" applyFont="1" applyFill="1" applyBorder="1" applyAlignment="1">
      <alignment vertical="center"/>
    </xf>
    <xf numFmtId="175" fontId="0" fillId="0" borderId="25" xfId="1" applyNumberFormat="1" applyFont="1" applyFill="1" applyBorder="1" applyAlignment="1">
      <alignment vertical="center"/>
    </xf>
    <xf numFmtId="165" fontId="54" fillId="0" borderId="25" xfId="1" applyNumberFormat="1" applyFont="1" applyFill="1" applyBorder="1" applyAlignment="1">
      <alignment vertical="center"/>
    </xf>
    <xf numFmtId="165" fontId="0" fillId="0" borderId="8" xfId="1" applyNumberFormat="1" applyFont="1" applyFill="1" applyBorder="1" applyAlignment="1">
      <alignment vertical="center"/>
    </xf>
    <xf numFmtId="17" fontId="0" fillId="49" borderId="28" xfId="0" applyNumberFormat="1" applyFill="1" applyBorder="1" applyAlignment="1">
      <alignment horizontal="center" vertical="center"/>
    </xf>
    <xf numFmtId="165" fontId="54" fillId="0" borderId="21" xfId="0" applyNumberFormat="1" applyFont="1" applyBorder="1" applyAlignment="1">
      <alignment vertical="center"/>
    </xf>
    <xf numFmtId="165" fontId="59" fillId="0" borderId="20" xfId="1" applyNumberFormat="1" applyFont="1" applyFill="1" applyBorder="1" applyAlignment="1">
      <alignment vertical="center"/>
    </xf>
    <xf numFmtId="43" fontId="0" fillId="0" borderId="1" xfId="1" applyFont="1" applyFill="1" applyBorder="1" applyAlignment="1">
      <alignment vertical="center"/>
    </xf>
    <xf numFmtId="165" fontId="0" fillId="0" borderId="1" xfId="0" applyNumberFormat="1" applyBorder="1" applyAlignment="1">
      <alignment vertical="center"/>
    </xf>
    <xf numFmtId="165" fontId="54" fillId="0" borderId="64" xfId="1" applyNumberFormat="1" applyFont="1" applyFill="1" applyBorder="1" applyAlignment="1">
      <alignment vertical="center"/>
    </xf>
    <xf numFmtId="175" fontId="0" fillId="0" borderId="3" xfId="1" applyNumberFormat="1" applyFont="1" applyFill="1" applyBorder="1" applyAlignment="1">
      <alignment vertical="center"/>
    </xf>
    <xf numFmtId="165" fontId="54" fillId="0" borderId="74" xfId="1" applyNumberFormat="1" applyFont="1" applyFill="1" applyBorder="1" applyAlignment="1">
      <alignment vertical="center"/>
    </xf>
    <xf numFmtId="165" fontId="0" fillId="0" borderId="9" xfId="1" applyNumberFormat="1" applyFont="1" applyFill="1" applyBorder="1" applyAlignment="1">
      <alignment vertical="center"/>
    </xf>
    <xf numFmtId="17" fontId="0" fillId="49" borderId="30" xfId="0" applyNumberFormat="1" applyFill="1" applyBorder="1" applyAlignment="1">
      <alignment horizontal="center" vertical="center"/>
    </xf>
    <xf numFmtId="165" fontId="59" fillId="0" borderId="22" xfId="1" applyNumberFormat="1" applyFont="1" applyFill="1" applyBorder="1" applyAlignment="1">
      <alignment horizontal="center" vertical="center"/>
    </xf>
    <xf numFmtId="165" fontId="54" fillId="0" borderId="24" xfId="0" applyNumberFormat="1" applyFont="1" applyBorder="1" applyAlignment="1">
      <alignment vertical="center"/>
    </xf>
    <xf numFmtId="165" fontId="59" fillId="0" borderId="47" xfId="1" applyNumberFormat="1" applyFont="1" applyFill="1" applyBorder="1" applyAlignment="1">
      <alignment vertical="center"/>
    </xf>
    <xf numFmtId="43" fontId="0" fillId="0" borderId="4" xfId="1" applyFont="1" applyFill="1" applyBorder="1" applyAlignment="1">
      <alignment vertical="center"/>
    </xf>
    <xf numFmtId="43" fontId="0" fillId="0" borderId="87" xfId="1" applyFont="1" applyFill="1" applyBorder="1" applyAlignment="1">
      <alignment vertical="center"/>
    </xf>
    <xf numFmtId="165" fontId="0" fillId="0" borderId="23" xfId="0" applyNumberFormat="1" applyBorder="1" applyAlignment="1">
      <alignment vertical="center"/>
    </xf>
    <xf numFmtId="165" fontId="54" fillId="0" borderId="87" xfId="1" applyNumberFormat="1" applyFont="1" applyFill="1" applyBorder="1" applyAlignment="1">
      <alignment vertical="center"/>
    </xf>
    <xf numFmtId="165" fontId="59" fillId="0" borderId="22" xfId="1" applyNumberFormat="1" applyFont="1" applyFill="1" applyBorder="1" applyAlignment="1">
      <alignment vertical="center"/>
    </xf>
    <xf numFmtId="43" fontId="0" fillId="0" borderId="23" xfId="1" applyFont="1" applyFill="1" applyBorder="1" applyAlignment="1">
      <alignment vertical="center"/>
    </xf>
    <xf numFmtId="165" fontId="54" fillId="0" borderId="57" xfId="1" applyNumberFormat="1" applyFont="1" applyFill="1" applyBorder="1" applyAlignment="1">
      <alignment vertical="center"/>
    </xf>
    <xf numFmtId="175" fontId="0" fillId="0" borderId="26" xfId="1" applyNumberFormat="1" applyFont="1" applyFill="1" applyBorder="1" applyAlignment="1">
      <alignment vertical="center"/>
    </xf>
    <xf numFmtId="165" fontId="54" fillId="0" borderId="69" xfId="1" applyNumberFormat="1" applyFont="1" applyFill="1" applyBorder="1" applyAlignment="1">
      <alignment vertical="center"/>
    </xf>
    <xf numFmtId="165" fontId="0" fillId="0" borderId="10" xfId="1" applyNumberFormat="1" applyFont="1" applyFill="1" applyBorder="1" applyAlignment="1">
      <alignment vertical="center"/>
    </xf>
    <xf numFmtId="17" fontId="0" fillId="49" borderId="36" xfId="0" applyNumberFormat="1" applyFill="1" applyBorder="1" applyAlignment="1">
      <alignment horizontal="center" vertical="center"/>
    </xf>
    <xf numFmtId="165" fontId="54" fillId="0" borderId="74" xfId="0" applyNumberFormat="1" applyFont="1" applyBorder="1" applyAlignment="1">
      <alignment vertical="center"/>
    </xf>
    <xf numFmtId="43" fontId="0" fillId="0" borderId="18" xfId="0" applyNumberFormat="1" applyBorder="1" applyAlignment="1">
      <alignment vertical="center"/>
    </xf>
    <xf numFmtId="165" fontId="59" fillId="0" borderId="18" xfId="1" applyNumberFormat="1" applyFont="1" applyFill="1" applyBorder="1" applyAlignment="1">
      <alignment vertical="center"/>
    </xf>
    <xf numFmtId="165" fontId="59" fillId="0" borderId="82" xfId="1" applyNumberFormat="1" applyFont="1" applyFill="1" applyBorder="1" applyAlignment="1">
      <alignment vertical="center"/>
    </xf>
    <xf numFmtId="43" fontId="0" fillId="0" borderId="72" xfId="0" applyNumberFormat="1" applyBorder="1" applyAlignment="1">
      <alignment vertical="center"/>
    </xf>
    <xf numFmtId="175" fontId="0" fillId="0" borderId="74" xfId="0" applyNumberFormat="1" applyBorder="1" applyAlignment="1">
      <alignment vertical="center"/>
    </xf>
    <xf numFmtId="165" fontId="0" fillId="0" borderId="14" xfId="1" applyNumberFormat="1" applyFont="1" applyFill="1" applyBorder="1" applyAlignment="1">
      <alignment vertical="center"/>
    </xf>
    <xf numFmtId="43" fontId="0" fillId="0" borderId="1" xfId="0" applyNumberFormat="1" applyBorder="1" applyAlignment="1">
      <alignment vertical="center"/>
    </xf>
    <xf numFmtId="165" fontId="59" fillId="0" borderId="1" xfId="1" applyNumberFormat="1" applyFont="1" applyFill="1" applyBorder="1" applyAlignment="1">
      <alignment vertical="center"/>
    </xf>
    <xf numFmtId="165" fontId="54" fillId="0" borderId="21" xfId="1" applyNumberFormat="1" applyFont="1" applyFill="1" applyBorder="1" applyAlignment="1">
      <alignment vertical="center"/>
    </xf>
    <xf numFmtId="165" fontId="59" fillId="0" borderId="13" xfId="1" applyNumberFormat="1" applyFont="1" applyFill="1" applyBorder="1" applyAlignment="1">
      <alignment vertical="center"/>
    </xf>
    <xf numFmtId="175" fontId="0" fillId="0" borderId="3" xfId="0" applyNumberFormat="1" applyBorder="1" applyAlignment="1">
      <alignment vertical="center"/>
    </xf>
    <xf numFmtId="165" fontId="54" fillId="0" borderId="26" xfId="0" applyNumberFormat="1" applyFont="1" applyBorder="1" applyAlignment="1">
      <alignment vertical="center"/>
    </xf>
    <xf numFmtId="43" fontId="0" fillId="0" borderId="23" xfId="0" applyNumberFormat="1" applyBorder="1" applyAlignment="1">
      <alignment vertical="center"/>
    </xf>
    <xf numFmtId="165" fontId="54" fillId="0" borderId="24" xfId="1" applyNumberFormat="1" applyFont="1" applyFill="1" applyBorder="1" applyAlignment="1">
      <alignment vertical="center"/>
    </xf>
    <xf numFmtId="165" fontId="59" fillId="0" borderId="79" xfId="1" applyNumberFormat="1" applyFont="1" applyFill="1" applyBorder="1" applyAlignment="1">
      <alignment vertical="center"/>
    </xf>
    <xf numFmtId="175" fontId="0" fillId="0" borderId="26" xfId="0" applyNumberFormat="1" applyBorder="1" applyAlignment="1">
      <alignment vertical="center"/>
    </xf>
    <xf numFmtId="0" fontId="0" fillId="47" borderId="2" xfId="0" applyFill="1" applyBorder="1" applyAlignment="1">
      <alignment horizontal="center" vertical="center"/>
    </xf>
    <xf numFmtId="0" fontId="0" fillId="21" borderId="2" xfId="0" applyFill="1" applyBorder="1" applyAlignment="1">
      <alignment horizontal="center" vertical="center" wrapText="1"/>
    </xf>
    <xf numFmtId="0" fontId="54" fillId="21" borderId="12" xfId="0" applyFont="1" applyFill="1" applyBorder="1" applyAlignment="1">
      <alignment horizontal="center" vertical="center"/>
    </xf>
    <xf numFmtId="0" fontId="54" fillId="51" borderId="1" xfId="0" applyFont="1" applyFill="1" applyBorder="1" applyAlignment="1">
      <alignment horizontal="center" vertical="center" wrapText="1"/>
    </xf>
    <xf numFmtId="165" fontId="54" fillId="0" borderId="77" xfId="1" applyNumberFormat="1" applyFont="1" applyFill="1" applyBorder="1" applyAlignment="1">
      <alignment horizontal="right" vertical="center"/>
    </xf>
    <xf numFmtId="44" fontId="0" fillId="0" borderId="1" xfId="12" applyFont="1" applyBorder="1"/>
    <xf numFmtId="165" fontId="54" fillId="0" borderId="21" xfId="1" applyNumberFormat="1" applyFont="1" applyFill="1" applyBorder="1" applyAlignment="1">
      <alignment horizontal="right" vertical="center"/>
    </xf>
    <xf numFmtId="165" fontId="54" fillId="0" borderId="24" xfId="1" applyNumberFormat="1" applyFont="1" applyFill="1" applyBorder="1" applyAlignment="1">
      <alignment horizontal="right" vertical="center"/>
    </xf>
    <xf numFmtId="17" fontId="0" fillId="49" borderId="14" xfId="0" applyNumberFormat="1" applyFill="1" applyBorder="1" applyAlignment="1">
      <alignment horizontal="center"/>
    </xf>
    <xf numFmtId="165" fontId="54" fillId="0" borderId="64" xfId="1" applyNumberFormat="1" applyFont="1" applyFill="1" applyBorder="1" applyAlignment="1">
      <alignment horizontal="right" vertical="center"/>
    </xf>
    <xf numFmtId="0" fontId="0" fillId="0" borderId="32" xfId="0" applyBorder="1"/>
    <xf numFmtId="0" fontId="0" fillId="0" borderId="33" xfId="0" applyBorder="1"/>
    <xf numFmtId="0" fontId="0" fillId="0" borderId="34" xfId="0" applyBorder="1"/>
    <xf numFmtId="17" fontId="0" fillId="49" borderId="70" xfId="0" applyNumberFormat="1" applyFill="1" applyBorder="1" applyAlignment="1">
      <alignment horizontal="center"/>
    </xf>
    <xf numFmtId="165" fontId="0" fillId="0" borderId="18" xfId="0" applyNumberFormat="1" applyBorder="1"/>
    <xf numFmtId="165" fontId="0" fillId="0" borderId="19" xfId="0" applyNumberFormat="1" applyBorder="1"/>
    <xf numFmtId="17" fontId="0" fillId="49" borderId="28" xfId="0" applyNumberFormat="1" applyFill="1" applyBorder="1" applyAlignment="1">
      <alignment horizontal="center"/>
    </xf>
    <xf numFmtId="165" fontId="0" fillId="0" borderId="21" xfId="0" applyNumberFormat="1" applyBorder="1"/>
    <xf numFmtId="17" fontId="0" fillId="49" borderId="30" xfId="0" applyNumberFormat="1" applyFill="1" applyBorder="1" applyAlignment="1">
      <alignment horizontal="center"/>
    </xf>
    <xf numFmtId="165" fontId="0" fillId="0" borderId="23" xfId="0" applyNumberFormat="1" applyBorder="1"/>
    <xf numFmtId="165" fontId="0" fillId="0" borderId="24" xfId="0" applyNumberFormat="1" applyBorder="1"/>
    <xf numFmtId="17" fontId="0" fillId="49" borderId="36" xfId="0" applyNumberFormat="1" applyFill="1" applyBorder="1" applyAlignment="1">
      <alignment horizontal="center"/>
    </xf>
    <xf numFmtId="0" fontId="68" fillId="0" borderId="1" xfId="0" applyFont="1" applyBorder="1" applyAlignment="1">
      <alignment horizontal="center"/>
    </xf>
    <xf numFmtId="44" fontId="68" fillId="0" borderId="1" xfId="12" applyFont="1" applyBorder="1"/>
    <xf numFmtId="0" fontId="109" fillId="0" borderId="0" xfId="0" applyFont="1" applyAlignment="1">
      <alignment vertical="center"/>
    </xf>
    <xf numFmtId="0" fontId="76" fillId="28" borderId="17" xfId="16" applyFill="1" applyBorder="1" applyAlignment="1">
      <alignment horizontal="center" vertical="center"/>
    </xf>
    <xf numFmtId="0" fontId="76" fillId="28" borderId="18" xfId="16" applyFill="1" applyBorder="1" applyAlignment="1">
      <alignment horizontal="center" vertical="center"/>
    </xf>
    <xf numFmtId="0" fontId="76" fillId="28" borderId="19" xfId="16" applyFill="1" applyBorder="1" applyAlignment="1">
      <alignment horizontal="center" vertical="center"/>
    </xf>
    <xf numFmtId="0" fontId="3" fillId="0" borderId="20" xfId="5" applyBorder="1" applyAlignment="1">
      <alignment horizontal="center" vertical="center"/>
    </xf>
    <xf numFmtId="0" fontId="3" fillId="0" borderId="1" xfId="5" applyBorder="1" applyAlignment="1">
      <alignment horizontal="center" vertical="center"/>
    </xf>
    <xf numFmtId="0" fontId="3" fillId="0" borderId="23" xfId="5" applyBorder="1" applyAlignment="1">
      <alignment horizontal="center" vertical="center"/>
    </xf>
    <xf numFmtId="0" fontId="3" fillId="0" borderId="21" xfId="5" applyBorder="1" applyAlignment="1">
      <alignment horizontal="center" vertical="center"/>
    </xf>
    <xf numFmtId="0" fontId="3" fillId="0" borderId="24" xfId="5" applyBorder="1" applyAlignment="1">
      <alignment horizontal="center" vertical="center"/>
    </xf>
    <xf numFmtId="0" fontId="70" fillId="25" borderId="0" xfId="0" applyFont="1" applyFill="1"/>
    <xf numFmtId="0" fontId="0" fillId="13" borderId="0" xfId="0" applyFill="1" applyAlignment="1">
      <alignment horizontal="center" vertical="center"/>
    </xf>
    <xf numFmtId="0" fontId="3" fillId="0" borderId="22" xfId="5" applyBorder="1" applyAlignment="1">
      <alignment horizontal="center" vertical="center"/>
    </xf>
    <xf numFmtId="0" fontId="3" fillId="0" borderId="1" xfId="5" applyBorder="1" applyAlignment="1">
      <alignment horizontal="center"/>
    </xf>
    <xf numFmtId="0" fontId="3" fillId="0" borderId="21" xfId="5" applyBorder="1" applyAlignment="1">
      <alignment horizontal="center"/>
    </xf>
    <xf numFmtId="185" fontId="0" fillId="0" borderId="0" xfId="2" applyNumberFormat="1" applyFont="1"/>
    <xf numFmtId="175" fontId="0" fillId="0" borderId="0" xfId="1" applyNumberFormat="1" applyFont="1"/>
    <xf numFmtId="166" fontId="0" fillId="0" borderId="0" xfId="1" applyNumberFormat="1" applyFont="1"/>
    <xf numFmtId="175" fontId="0" fillId="0" borderId="0" xfId="0" applyNumberFormat="1"/>
    <xf numFmtId="166" fontId="0" fillId="0" borderId="0" xfId="0" applyNumberFormat="1"/>
    <xf numFmtId="0" fontId="56" fillId="0" borderId="0" xfId="0" applyFont="1" applyAlignment="1">
      <alignment horizontal="center"/>
    </xf>
    <xf numFmtId="4" fontId="0" fillId="0" borderId="0" xfId="0" applyNumberFormat="1"/>
    <xf numFmtId="168" fontId="0" fillId="0" borderId="0" xfId="0" applyNumberFormat="1"/>
    <xf numFmtId="43" fontId="0" fillId="0" borderId="1" xfId="0" applyNumberFormat="1" applyBorder="1" applyAlignment="1">
      <alignment horizontal="center" vertical="center"/>
    </xf>
    <xf numFmtId="3" fontId="0" fillId="0" borderId="1" xfId="0" applyNumberFormat="1" applyBorder="1" applyAlignment="1">
      <alignment horizontal="center" vertical="center"/>
    </xf>
    <xf numFmtId="186" fontId="0" fillId="0" borderId="1" xfId="0" applyNumberFormat="1" applyBorder="1" applyAlignment="1">
      <alignment horizontal="center" vertical="center"/>
    </xf>
    <xf numFmtId="168" fontId="0" fillId="0" borderId="1" xfId="0" applyNumberFormat="1" applyBorder="1" applyAlignment="1">
      <alignment horizontal="center" vertical="center"/>
    </xf>
    <xf numFmtId="4" fontId="0" fillId="0" borderId="1" xfId="0" applyNumberFormat="1" applyBorder="1" applyAlignment="1">
      <alignment horizontal="center" vertical="center"/>
    </xf>
    <xf numFmtId="175" fontId="0" fillId="0" borderId="1" xfId="0" applyNumberFormat="1" applyBorder="1" applyAlignment="1">
      <alignment horizontal="center" vertical="center"/>
    </xf>
    <xf numFmtId="170" fontId="0" fillId="0" borderId="0" xfId="0" applyNumberFormat="1"/>
    <xf numFmtId="187" fontId="0" fillId="0" borderId="0" xfId="2" applyNumberFormat="1" applyFont="1"/>
    <xf numFmtId="0" fontId="0" fillId="13" borderId="0" xfId="0" applyFill="1"/>
    <xf numFmtId="182" fontId="29" fillId="0" borderId="23" xfId="1" applyNumberFormat="1" applyFont="1" applyBorder="1" applyAlignment="1">
      <alignment vertical="center"/>
    </xf>
    <xf numFmtId="165" fontId="40" fillId="0" borderId="14" xfId="1" applyNumberFormat="1" applyFont="1" applyBorder="1" applyProtection="1">
      <protection locked="0"/>
    </xf>
    <xf numFmtId="165" fontId="41" fillId="5" borderId="14" xfId="1" applyNumberFormat="1" applyFont="1" applyFill="1" applyBorder="1" applyProtection="1"/>
    <xf numFmtId="165" fontId="41" fillId="0" borderId="14" xfId="1" applyNumberFormat="1" applyFont="1" applyFill="1" applyBorder="1" applyProtection="1">
      <protection locked="0"/>
    </xf>
    <xf numFmtId="9" fontId="41" fillId="5" borderId="14" xfId="2" applyFont="1" applyFill="1" applyBorder="1" applyProtection="1"/>
    <xf numFmtId="165" fontId="111" fillId="0" borderId="9" xfId="1" applyNumberFormat="1" applyFont="1" applyBorder="1" applyProtection="1">
      <protection locked="0"/>
    </xf>
    <xf numFmtId="165" fontId="41" fillId="0" borderId="9" xfId="1" applyNumberFormat="1" applyFont="1" applyFill="1" applyBorder="1" applyProtection="1">
      <protection locked="0"/>
    </xf>
    <xf numFmtId="0" fontId="13" fillId="5" borderId="6" xfId="0" applyFont="1" applyFill="1" applyBorder="1"/>
    <xf numFmtId="169" fontId="0" fillId="0" borderId="0" xfId="0" applyNumberFormat="1"/>
    <xf numFmtId="0" fontId="114" fillId="0" borderId="0" xfId="18" applyFont="1" applyAlignment="1">
      <alignment horizontal="centerContinuous" vertical="center"/>
    </xf>
    <xf numFmtId="0" fontId="115" fillId="0" borderId="0" xfId="18" applyFont="1" applyAlignment="1">
      <alignment horizontal="centerContinuous"/>
    </xf>
    <xf numFmtId="0" fontId="116" fillId="0" borderId="0" xfId="18" applyFont="1" applyAlignment="1">
      <alignment horizontal="centerContinuous" vertical="center"/>
    </xf>
    <xf numFmtId="0" fontId="117" fillId="0" borderId="0" xfId="18" applyFont="1" applyAlignment="1">
      <alignment horizontal="center"/>
    </xf>
    <xf numFmtId="0" fontId="91" fillId="0" borderId="0" xfId="18" applyFont="1" applyAlignment="1">
      <alignment horizontal="centerContinuous"/>
    </xf>
    <xf numFmtId="0" fontId="91" fillId="0" borderId="0" xfId="18" applyFont="1"/>
    <xf numFmtId="0" fontId="115" fillId="0" borderId="96" xfId="18" applyFont="1" applyBorder="1"/>
    <xf numFmtId="0" fontId="118" fillId="0" borderId="96" xfId="18" applyFont="1" applyBorder="1" applyAlignment="1">
      <alignment horizontal="right" vertical="center"/>
    </xf>
    <xf numFmtId="0" fontId="118" fillId="0" borderId="96" xfId="18" applyFont="1" applyBorder="1" applyAlignment="1">
      <alignment horizontal="left" vertical="center"/>
    </xf>
    <xf numFmtId="0" fontId="118" fillId="0" borderId="96" xfId="18" applyFont="1" applyBorder="1" applyAlignment="1">
      <alignment horizontal="center" vertical="center"/>
    </xf>
    <xf numFmtId="0" fontId="116" fillId="0" borderId="96" xfId="18" applyFont="1" applyBorder="1" applyAlignment="1">
      <alignment horizontal="center" vertical="center"/>
    </xf>
    <xf numFmtId="0" fontId="91" fillId="0" borderId="96" xfId="18" applyFont="1" applyBorder="1"/>
    <xf numFmtId="0" fontId="119" fillId="0" borderId="0" xfId="18" applyFont="1"/>
    <xf numFmtId="0" fontId="120" fillId="0" borderId="0" xfId="18" applyFont="1" applyAlignment="1">
      <alignment horizontal="right" vertical="center"/>
    </xf>
    <xf numFmtId="0" fontId="120" fillId="0" borderId="0" xfId="18" applyFont="1" applyAlignment="1">
      <alignment horizontal="left" vertical="center"/>
    </xf>
    <xf numFmtId="0" fontId="120" fillId="0" borderId="0" xfId="18" applyFont="1" applyAlignment="1">
      <alignment horizontal="center" vertical="center"/>
    </xf>
    <xf numFmtId="0" fontId="121" fillId="0" borderId="0" xfId="18" applyFont="1" applyAlignment="1">
      <alignment horizontal="center" vertical="center"/>
    </xf>
    <xf numFmtId="0" fontId="122" fillId="52" borderId="97" xfId="19" applyFont="1" applyFill="1" applyBorder="1" applyAlignment="1">
      <alignment horizontal="center" vertical="center" wrapText="1"/>
    </xf>
    <xf numFmtId="0" fontId="123" fillId="0" borderId="98" xfId="20" applyFont="1" applyBorder="1" applyAlignment="1">
      <alignment horizontal="center" vertical="center" wrapText="1"/>
    </xf>
    <xf numFmtId="0" fontId="127" fillId="0" borderId="100" xfId="20" applyFont="1" applyBorder="1" applyAlignment="1">
      <alignment horizontal="center" vertical="center" wrapText="1"/>
    </xf>
    <xf numFmtId="0" fontId="123" fillId="0" borderId="103" xfId="20" applyFont="1" applyBorder="1" applyAlignment="1">
      <alignment horizontal="center" vertical="center" wrapText="1"/>
    </xf>
    <xf numFmtId="0" fontId="128" fillId="0" borderId="0" xfId="18" applyFont="1"/>
    <xf numFmtId="0" fontId="127" fillId="0" borderId="0" xfId="18" applyFont="1"/>
    <xf numFmtId="0" fontId="0" fillId="0" borderId="100" xfId="0" applyBorder="1" applyAlignment="1">
      <alignment horizontal="center" vertical="center"/>
    </xf>
    <xf numFmtId="0" fontId="56" fillId="28" borderId="100" xfId="0" applyFont="1" applyFill="1" applyBorder="1" applyAlignment="1">
      <alignment horizontal="center" vertical="center"/>
    </xf>
    <xf numFmtId="0" fontId="115" fillId="0" borderId="0" xfId="18" applyFont="1"/>
    <xf numFmtId="44" fontId="0" fillId="0" borderId="76" xfId="12" applyFont="1" applyBorder="1" applyAlignment="1">
      <alignment horizontal="center" vertical="center"/>
    </xf>
    <xf numFmtId="165" fontId="59" fillId="0" borderId="22" xfId="1" applyNumberFormat="1" applyFont="1" applyBorder="1"/>
    <xf numFmtId="184" fontId="0" fillId="0" borderId="113" xfId="0" applyNumberFormat="1" applyBorder="1" applyAlignment="1">
      <alignment vertical="center"/>
    </xf>
    <xf numFmtId="165" fontId="0" fillId="0" borderId="114" xfId="11" applyNumberFormat="1" applyFont="1" applyBorder="1" applyAlignment="1">
      <alignment vertical="center"/>
    </xf>
    <xf numFmtId="184" fontId="0" fillId="0" borderId="115" xfId="0" applyNumberFormat="1" applyBorder="1" applyAlignment="1">
      <alignment vertical="center"/>
    </xf>
    <xf numFmtId="165" fontId="0" fillId="0" borderId="116" xfId="11" applyNumberFormat="1" applyFont="1" applyBorder="1" applyAlignment="1">
      <alignment vertical="center"/>
    </xf>
    <xf numFmtId="184" fontId="0" fillId="0" borderId="116" xfId="0" applyNumberFormat="1" applyBorder="1" applyAlignment="1">
      <alignment vertical="center"/>
    </xf>
    <xf numFmtId="0" fontId="0" fillId="0" borderId="118" xfId="0" applyBorder="1" applyAlignment="1">
      <alignment vertical="center"/>
    </xf>
    <xf numFmtId="1" fontId="0" fillId="0" borderId="23" xfId="0" quotePrefix="1" applyNumberFormat="1" applyBorder="1" applyAlignment="1">
      <alignment horizontal="right" vertical="top"/>
    </xf>
    <xf numFmtId="0" fontId="132" fillId="0" borderId="47" xfId="0" applyFont="1" applyBorder="1"/>
    <xf numFmtId="0" fontId="132" fillId="0" borderId="37" xfId="0" applyFont="1" applyBorder="1"/>
    <xf numFmtId="0" fontId="132" fillId="0" borderId="22" xfId="0" applyFont="1" applyBorder="1"/>
    <xf numFmtId="0" fontId="132" fillId="0" borderId="79" xfId="0" applyFont="1" applyBorder="1"/>
    <xf numFmtId="0" fontId="0" fillId="0" borderId="0" xfId="0" applyAlignment="1">
      <alignment vertical="center"/>
    </xf>
    <xf numFmtId="15" fontId="0" fillId="0" borderId="1" xfId="0" applyNumberFormat="1" applyBorder="1"/>
    <xf numFmtId="15" fontId="0" fillId="0" borderId="18" xfId="0" applyNumberFormat="1" applyBorder="1"/>
    <xf numFmtId="15" fontId="0" fillId="0" borderId="23" xfId="0" applyNumberFormat="1" applyBorder="1"/>
    <xf numFmtId="43" fontId="59" fillId="0" borderId="17" xfId="1" applyFont="1" applyBorder="1" applyAlignment="1">
      <alignment horizontal="center" vertical="center"/>
    </xf>
    <xf numFmtId="43" fontId="59" fillId="0" borderId="18" xfId="1" applyFont="1" applyBorder="1" applyAlignment="1">
      <alignment horizontal="center" vertical="center"/>
    </xf>
    <xf numFmtId="43" fontId="0" fillId="0" borderId="18" xfId="1" applyFont="1" applyBorder="1" applyAlignment="1">
      <alignment horizontal="center" vertical="center"/>
    </xf>
    <xf numFmtId="0" fontId="4" fillId="0" borderId="25" xfId="0" applyFont="1" applyBorder="1" applyProtection="1">
      <protection locked="0"/>
    </xf>
    <xf numFmtId="0" fontId="4" fillId="0" borderId="3" xfId="0" applyFont="1" applyBorder="1" applyProtection="1">
      <protection locked="0"/>
    </xf>
    <xf numFmtId="0" fontId="4" fillId="0" borderId="51" xfId="0" applyFont="1" applyBorder="1" applyProtection="1">
      <protection locked="0"/>
    </xf>
    <xf numFmtId="0" fontId="4" fillId="0" borderId="26" xfId="0" applyFont="1" applyBorder="1" applyProtection="1">
      <protection locked="0"/>
    </xf>
    <xf numFmtId="0" fontId="16" fillId="5" borderId="41" xfId="0" applyFont="1" applyFill="1" applyBorder="1" applyAlignment="1">
      <alignment horizontal="center" vertical="center"/>
    </xf>
    <xf numFmtId="0" fontId="4" fillId="0" borderId="119" xfId="0" applyFont="1" applyBorder="1" applyProtection="1">
      <protection locked="0"/>
    </xf>
    <xf numFmtId="0" fontId="13" fillId="5" borderId="31" xfId="0" applyFont="1" applyFill="1" applyBorder="1" applyAlignment="1">
      <alignment horizontal="center" vertical="center"/>
    </xf>
    <xf numFmtId="0" fontId="16" fillId="5" borderId="120" xfId="0" applyFont="1" applyFill="1" applyBorder="1" applyAlignment="1">
      <alignment horizontal="center" vertical="center"/>
    </xf>
    <xf numFmtId="0" fontId="4" fillId="0" borderId="121" xfId="0" applyFont="1" applyBorder="1"/>
    <xf numFmtId="0" fontId="13" fillId="5" borderId="122" xfId="0" applyFont="1" applyFill="1" applyBorder="1" applyAlignment="1">
      <alignment horizontal="center" vertical="center"/>
    </xf>
    <xf numFmtId="165" fontId="29" fillId="0" borderId="0" xfId="0" applyNumberFormat="1" applyFont="1" applyAlignment="1">
      <alignment vertical="center"/>
    </xf>
    <xf numFmtId="0" fontId="80" fillId="0" borderId="108" xfId="20" applyFont="1" applyBorder="1" applyAlignment="1">
      <alignment vertical="center" wrapText="1"/>
    </xf>
    <xf numFmtId="0" fontId="80" fillId="0" borderId="102" xfId="20" applyFont="1" applyBorder="1" applyAlignment="1">
      <alignment vertical="center" wrapText="1"/>
    </xf>
    <xf numFmtId="0" fontId="80" fillId="0" borderId="100" xfId="20" applyFont="1" applyBorder="1" applyAlignment="1">
      <alignment vertical="center" wrapText="1"/>
    </xf>
    <xf numFmtId="0" fontId="80" fillId="0" borderId="100" xfId="20" applyFont="1" applyBorder="1" applyAlignment="1">
      <alignment horizontal="center" vertical="center" wrapText="1"/>
    </xf>
    <xf numFmtId="0" fontId="91" fillId="0" borderId="0" xfId="18" applyFont="1" applyAlignment="1">
      <alignment vertical="center"/>
    </xf>
    <xf numFmtId="17" fontId="0" fillId="49" borderId="123" xfId="0" applyNumberFormat="1" applyFill="1" applyBorder="1" applyAlignment="1">
      <alignment horizontal="center"/>
    </xf>
    <xf numFmtId="175" fontId="0" fillId="0" borderId="110" xfId="1" applyNumberFormat="1" applyFont="1" applyFill="1" applyBorder="1"/>
    <xf numFmtId="182" fontId="0" fillId="0" borderId="124" xfId="1" applyNumberFormat="1" applyFont="1" applyFill="1" applyBorder="1"/>
    <xf numFmtId="43" fontId="0" fillId="0" borderId="110" xfId="1" applyFont="1" applyFill="1" applyBorder="1"/>
    <xf numFmtId="43" fontId="0" fillId="0" borderId="124" xfId="1" applyFont="1" applyFill="1" applyBorder="1"/>
    <xf numFmtId="43" fontId="54" fillId="0" borderId="125" xfId="1" applyFont="1" applyFill="1" applyBorder="1"/>
    <xf numFmtId="17" fontId="0" fillId="49" borderId="126" xfId="0" applyNumberFormat="1" applyFill="1" applyBorder="1" applyAlignment="1">
      <alignment horizontal="center"/>
    </xf>
    <xf numFmtId="43" fontId="54" fillId="0" borderId="127" xfId="1" applyFont="1" applyFill="1" applyBorder="1"/>
    <xf numFmtId="17" fontId="0" fillId="49" borderId="128" xfId="0" applyNumberFormat="1" applyFill="1" applyBorder="1" applyAlignment="1">
      <alignment horizontal="center"/>
    </xf>
    <xf numFmtId="165" fontId="107" fillId="0" borderId="129" xfId="1" applyNumberFormat="1" applyFont="1" applyBorder="1"/>
    <xf numFmtId="175" fontId="0" fillId="0" borderId="116" xfId="1" applyNumberFormat="1" applyFont="1" applyBorder="1"/>
    <xf numFmtId="182" fontId="0" fillId="0" borderId="130" xfId="1" applyNumberFormat="1" applyFont="1" applyBorder="1"/>
    <xf numFmtId="165" fontId="107" fillId="0" borderId="131" xfId="1" applyNumberFormat="1" applyFont="1" applyBorder="1"/>
    <xf numFmtId="43" fontId="0" fillId="0" borderId="116" xfId="1" applyFont="1" applyBorder="1"/>
    <xf numFmtId="43" fontId="0" fillId="0" borderId="130" xfId="1" applyFont="1" applyBorder="1"/>
    <xf numFmtId="43" fontId="54" fillId="0" borderId="132" xfId="1" applyFont="1" applyFill="1" applyBorder="1"/>
    <xf numFmtId="43" fontId="107" fillId="0" borderId="13" xfId="1" applyFont="1" applyFill="1" applyBorder="1"/>
    <xf numFmtId="182" fontId="107" fillId="0" borderId="13" xfId="1" applyNumberFormat="1" applyFont="1" applyFill="1" applyBorder="1"/>
    <xf numFmtId="182" fontId="107" fillId="0" borderId="79" xfId="1" applyNumberFormat="1" applyFont="1" applyFill="1" applyBorder="1"/>
    <xf numFmtId="0" fontId="0" fillId="48" borderId="75" xfId="0" applyFill="1" applyBorder="1" applyAlignment="1">
      <alignment horizontal="center" vertical="center" wrapText="1"/>
    </xf>
    <xf numFmtId="0" fontId="0" fillId="48" borderId="76" xfId="0" applyFill="1" applyBorder="1" applyAlignment="1">
      <alignment horizontal="center" vertical="center" wrapText="1"/>
    </xf>
    <xf numFmtId="0" fontId="0" fillId="48" borderId="43" xfId="0" applyFill="1" applyBorder="1" applyAlignment="1">
      <alignment horizontal="center" vertical="center" wrapText="1"/>
    </xf>
    <xf numFmtId="165" fontId="107" fillId="0" borderId="82" xfId="1" applyNumberFormat="1" applyFont="1" applyBorder="1"/>
    <xf numFmtId="175" fontId="0" fillId="0" borderId="72" xfId="1" applyNumberFormat="1" applyFont="1" applyBorder="1"/>
    <xf numFmtId="182" fontId="0" fillId="0" borderId="74" xfId="1" applyNumberFormat="1" applyFont="1" applyBorder="1"/>
    <xf numFmtId="165" fontId="107" fillId="0" borderId="81" xfId="1" applyNumberFormat="1" applyFont="1" applyBorder="1"/>
    <xf numFmtId="43" fontId="0" fillId="0" borderId="72" xfId="1" applyFont="1" applyBorder="1"/>
    <xf numFmtId="8" fontId="87" fillId="0" borderId="1" xfId="0" applyNumberFormat="1" applyFont="1" applyBorder="1"/>
    <xf numFmtId="0" fontId="2" fillId="0" borderId="133" xfId="3" applyBorder="1"/>
    <xf numFmtId="14" fontId="2" fillId="0" borderId="3" xfId="3" applyNumberFormat="1" applyBorder="1" applyAlignment="1">
      <alignment horizontal="center" vertical="center"/>
    </xf>
    <xf numFmtId="0" fontId="2" fillId="0" borderId="13" xfId="3" applyBorder="1"/>
    <xf numFmtId="1" fontId="2" fillId="0" borderId="4" xfId="3" applyNumberFormat="1" applyBorder="1" applyAlignment="1">
      <alignment horizontal="center" vertical="center"/>
    </xf>
    <xf numFmtId="0" fontId="81" fillId="54" borderId="1" xfId="0" applyFont="1" applyFill="1" applyBorder="1"/>
    <xf numFmtId="0" fontId="81" fillId="55" borderId="72" xfId="0" applyFont="1" applyFill="1" applyBorder="1"/>
    <xf numFmtId="0" fontId="39" fillId="0" borderId="8" xfId="0" applyFont="1" applyBorder="1" applyAlignment="1">
      <alignment wrapText="1"/>
    </xf>
    <xf numFmtId="0" fontId="39" fillId="0" borderId="35" xfId="0" applyFont="1" applyBorder="1" applyAlignment="1">
      <alignment wrapText="1"/>
    </xf>
    <xf numFmtId="165" fontId="107" fillId="12" borderId="20" xfId="1" applyNumberFormat="1" applyFont="1" applyFill="1" applyBorder="1"/>
    <xf numFmtId="165" fontId="5" fillId="12" borderId="9" xfId="1" applyNumberFormat="1" applyFont="1" applyFill="1" applyBorder="1" applyAlignment="1" applyProtection="1">
      <alignment horizontal="center"/>
      <protection locked="0"/>
    </xf>
    <xf numFmtId="168" fontId="59" fillId="12" borderId="20" xfId="0" applyNumberFormat="1" applyFont="1" applyFill="1" applyBorder="1" applyAlignment="1">
      <alignment horizontal="center"/>
    </xf>
    <xf numFmtId="0" fontId="59" fillId="12" borderId="1" xfId="0" applyFont="1" applyFill="1" applyBorder="1" applyAlignment="1">
      <alignment horizontal="center"/>
    </xf>
    <xf numFmtId="165" fontId="5" fillId="12" borderId="17" xfId="1" applyNumberFormat="1" applyFont="1" applyFill="1" applyBorder="1" applyAlignment="1" applyProtection="1">
      <alignment wrapText="1"/>
      <protection locked="0"/>
    </xf>
    <xf numFmtId="165" fontId="5" fillId="12" borderId="18" xfId="1" applyNumberFormat="1" applyFont="1" applyFill="1" applyBorder="1" applyAlignment="1" applyProtection="1">
      <alignment wrapText="1"/>
      <protection locked="0"/>
    </xf>
    <xf numFmtId="165" fontId="5" fillId="12" borderId="25" xfId="1" applyNumberFormat="1" applyFont="1" applyFill="1" applyBorder="1" applyAlignment="1" applyProtection="1">
      <alignment wrapText="1"/>
      <protection locked="0"/>
    </xf>
    <xf numFmtId="165" fontId="5" fillId="12" borderId="20" xfId="1" applyNumberFormat="1" applyFont="1" applyFill="1" applyBorder="1" applyAlignment="1" applyProtection="1">
      <alignment wrapText="1"/>
      <protection locked="0"/>
    </xf>
    <xf numFmtId="165" fontId="5" fillId="12" borderId="3" xfId="1" applyNumberFormat="1" applyFont="1" applyFill="1" applyBorder="1" applyAlignment="1" applyProtection="1">
      <alignment wrapText="1"/>
      <protection locked="0"/>
    </xf>
    <xf numFmtId="165" fontId="5" fillId="12" borderId="1" xfId="1" applyNumberFormat="1" applyFont="1" applyFill="1" applyBorder="1" applyAlignment="1" applyProtection="1">
      <alignment wrapText="1"/>
      <protection locked="0"/>
    </xf>
    <xf numFmtId="165" fontId="0" fillId="12" borderId="1" xfId="11" applyNumberFormat="1" applyFont="1" applyFill="1" applyBorder="1" applyAlignment="1">
      <alignment vertical="center"/>
    </xf>
    <xf numFmtId="165" fontId="59" fillId="12" borderId="81" xfId="1" applyNumberFormat="1" applyFont="1" applyFill="1" applyBorder="1" applyAlignment="1">
      <alignment vertical="center"/>
    </xf>
    <xf numFmtId="165" fontId="59" fillId="12" borderId="20" xfId="1" applyNumberFormat="1" applyFont="1" applyFill="1" applyBorder="1" applyAlignment="1">
      <alignment vertical="center"/>
    </xf>
    <xf numFmtId="165" fontId="59" fillId="12" borderId="20" xfId="1" applyNumberFormat="1" applyFont="1" applyFill="1" applyBorder="1" applyAlignment="1">
      <alignment horizontal="center" vertical="center"/>
    </xf>
    <xf numFmtId="43" fontId="59" fillId="12" borderId="22" xfId="1" applyFont="1" applyFill="1" applyBorder="1"/>
    <xf numFmtId="0" fontId="0" fillId="0" borderId="134" xfId="0" applyBorder="1"/>
    <xf numFmtId="0" fontId="0" fillId="0" borderId="121" xfId="0" applyBorder="1"/>
    <xf numFmtId="0" fontId="0" fillId="0" borderId="135" xfId="0" applyBorder="1"/>
    <xf numFmtId="0" fontId="54" fillId="10" borderId="120" xfId="0" applyFont="1" applyFill="1" applyBorder="1" applyAlignment="1">
      <alignment horizontal="center" vertical="center"/>
    </xf>
    <xf numFmtId="165" fontId="54" fillId="0" borderId="21" xfId="1" applyNumberFormat="1" applyFont="1" applyBorder="1" applyAlignment="1" applyProtection="1">
      <alignment horizontal="center"/>
      <protection locked="0"/>
    </xf>
    <xf numFmtId="0" fontId="133" fillId="0" borderId="9" xfId="0" applyFont="1" applyBorder="1" applyAlignment="1">
      <alignment wrapText="1"/>
    </xf>
    <xf numFmtId="0" fontId="133" fillId="0" borderId="38" xfId="0" applyFont="1" applyBorder="1"/>
    <xf numFmtId="0" fontId="133" fillId="0" borderId="14" xfId="0" applyFont="1" applyBorder="1" applyAlignment="1">
      <alignment wrapText="1"/>
    </xf>
    <xf numFmtId="0" fontId="133" fillId="0" borderId="45" xfId="0" applyFont="1" applyBorder="1"/>
    <xf numFmtId="0" fontId="133" fillId="0" borderId="9" xfId="0" applyFont="1" applyBorder="1"/>
    <xf numFmtId="0" fontId="133" fillId="0" borderId="8" xfId="0" applyFont="1" applyBorder="1" applyAlignment="1">
      <alignment wrapText="1"/>
    </xf>
    <xf numFmtId="0" fontId="133" fillId="0" borderId="35" xfId="0" applyFont="1" applyBorder="1"/>
    <xf numFmtId="2" fontId="133" fillId="0" borderId="45" xfId="0" applyNumberFormat="1" applyFont="1" applyBorder="1"/>
    <xf numFmtId="2" fontId="133" fillId="0" borderId="38" xfId="0" applyNumberFormat="1" applyFont="1" applyBorder="1"/>
    <xf numFmtId="0" fontId="133" fillId="12" borderId="45" xfId="0" applyFont="1" applyFill="1" applyBorder="1"/>
    <xf numFmtId="165" fontId="73" fillId="12" borderId="72" xfId="1" applyNumberFormat="1" applyFont="1" applyFill="1" applyBorder="1"/>
    <xf numFmtId="165" fontId="73" fillId="12" borderId="1" xfId="1" applyNumberFormat="1" applyFont="1" applyFill="1" applyBorder="1"/>
    <xf numFmtId="0" fontId="0" fillId="17" borderId="136" xfId="0" applyFill="1" applyBorder="1" applyAlignment="1">
      <alignment horizontal="center" vertical="center" wrapText="1"/>
    </xf>
    <xf numFmtId="0" fontId="0" fillId="17" borderId="137" xfId="0" applyFill="1" applyBorder="1" applyAlignment="1">
      <alignment horizontal="center" vertical="center" wrapText="1"/>
    </xf>
    <xf numFmtId="0" fontId="0" fillId="17" borderId="138" xfId="0" applyFill="1" applyBorder="1" applyAlignment="1">
      <alignment horizontal="center" vertical="center" wrapText="1"/>
    </xf>
    <xf numFmtId="0" fontId="0" fillId="17" borderId="5" xfId="0" applyFill="1" applyBorder="1" applyAlignment="1">
      <alignment horizontal="center" vertical="center"/>
    </xf>
    <xf numFmtId="0" fontId="54" fillId="17" borderId="12" xfId="0" applyFont="1" applyFill="1" applyBorder="1" applyAlignment="1">
      <alignment horizontal="center" vertical="center" wrapText="1"/>
    </xf>
    <xf numFmtId="0" fontId="59" fillId="0" borderId="81" xfId="0" applyFont="1" applyBorder="1"/>
    <xf numFmtId="0" fontId="59" fillId="0" borderId="72" xfId="0" applyFont="1" applyBorder="1"/>
    <xf numFmtId="170" fontId="0" fillId="0" borderId="64" xfId="0" applyNumberFormat="1" applyBorder="1"/>
    <xf numFmtId="165" fontId="59" fillId="12" borderId="17" xfId="1" applyNumberFormat="1" applyFont="1" applyFill="1" applyBorder="1" applyAlignment="1">
      <alignment horizontal="center" vertical="center"/>
    </xf>
    <xf numFmtId="165" fontId="59" fillId="12" borderId="81" xfId="1" applyNumberFormat="1" applyFont="1" applyFill="1" applyBorder="1" applyAlignment="1">
      <alignment horizontal="center" vertical="center"/>
    </xf>
    <xf numFmtId="165" fontId="59" fillId="12" borderId="47" xfId="1" applyNumberFormat="1" applyFont="1" applyFill="1" applyBorder="1" applyAlignment="1">
      <alignment vertical="center"/>
    </xf>
    <xf numFmtId="165" fontId="59" fillId="12" borderId="17" xfId="1" applyNumberFormat="1" applyFont="1" applyFill="1" applyBorder="1" applyAlignment="1">
      <alignment vertical="center"/>
    </xf>
    <xf numFmtId="165" fontId="59" fillId="12" borderId="22" xfId="1" applyNumberFormat="1" applyFont="1" applyFill="1" applyBorder="1" applyAlignment="1">
      <alignment vertical="center"/>
    </xf>
    <xf numFmtId="165" fontId="59" fillId="12" borderId="82" xfId="1" applyNumberFormat="1" applyFont="1" applyFill="1" applyBorder="1" applyAlignment="1">
      <alignment vertical="center"/>
    </xf>
    <xf numFmtId="165" fontId="59" fillId="12" borderId="13" xfId="1" applyNumberFormat="1" applyFont="1" applyFill="1" applyBorder="1" applyAlignment="1">
      <alignment vertical="center"/>
    </xf>
    <xf numFmtId="0" fontId="68" fillId="12" borderId="1" xfId="0" applyFont="1" applyFill="1" applyBorder="1" applyAlignment="1">
      <alignment horizontal="center"/>
    </xf>
    <xf numFmtId="165" fontId="47" fillId="12" borderId="9" xfId="1" applyNumberFormat="1" applyFont="1" applyFill="1" applyBorder="1" applyProtection="1">
      <protection locked="0"/>
    </xf>
    <xf numFmtId="0" fontId="80" fillId="0" borderId="99" xfId="20" applyFont="1" applyBorder="1" applyAlignment="1">
      <alignment horizontal="center" vertical="center" wrapText="1"/>
    </xf>
    <xf numFmtId="0" fontId="80" fillId="0" borderId="101" xfId="20" applyFont="1" applyBorder="1" applyAlignment="1">
      <alignment horizontal="center" vertical="center" wrapText="1"/>
    </xf>
    <xf numFmtId="0" fontId="122" fillId="52" borderId="97" xfId="19" applyFont="1" applyFill="1" applyBorder="1" applyAlignment="1">
      <alignment horizontal="center" vertical="center" wrapText="1"/>
    </xf>
    <xf numFmtId="0" fontId="80" fillId="0" borderId="108" xfId="20" applyFont="1" applyBorder="1" applyAlignment="1">
      <alignment horizontal="center" vertical="center" wrapText="1"/>
    </xf>
    <xf numFmtId="0" fontId="80" fillId="0" borderId="102" xfId="20" applyFont="1" applyBorder="1" applyAlignment="1">
      <alignment horizontal="center" vertical="center" wrapText="1"/>
    </xf>
    <xf numFmtId="0" fontId="124" fillId="0" borderId="104" xfId="18" applyFont="1" applyBorder="1" applyAlignment="1">
      <alignment horizontal="center" vertical="center"/>
    </xf>
    <xf numFmtId="0" fontId="124" fillId="0" borderId="101" xfId="18" applyFont="1" applyBorder="1" applyAlignment="1">
      <alignment horizontal="center" vertical="center"/>
    </xf>
    <xf numFmtId="0" fontId="124" fillId="0" borderId="104" xfId="20" applyFont="1" applyBorder="1" applyAlignment="1">
      <alignment horizontal="center" vertical="center" wrapText="1"/>
    </xf>
    <xf numFmtId="0" fontId="124" fillId="0" borderId="101" xfId="20" applyFont="1" applyBorder="1" applyAlignment="1">
      <alignment horizontal="center" vertical="center" wrapText="1"/>
    </xf>
    <xf numFmtId="0" fontId="122" fillId="52" borderId="105" xfId="19" applyFont="1" applyFill="1" applyBorder="1" applyAlignment="1">
      <alignment horizontal="center" vertical="center" wrapText="1"/>
    </xf>
    <xf numFmtId="0" fontId="122" fillId="52" borderId="106" xfId="19" applyFont="1" applyFill="1" applyBorder="1" applyAlignment="1">
      <alignment horizontal="center" vertical="center" wrapText="1"/>
    </xf>
    <xf numFmtId="0" fontId="122" fillId="52" borderId="107" xfId="19" applyFont="1" applyFill="1" applyBorder="1" applyAlignment="1">
      <alignment horizontal="center" vertical="center" wrapText="1"/>
    </xf>
    <xf numFmtId="188" fontId="125" fillId="0" borderId="104" xfId="20" applyNumberFormat="1" applyFont="1" applyBorder="1" applyAlignment="1">
      <alignment horizontal="center" vertical="center" wrapText="1"/>
    </xf>
    <xf numFmtId="188" fontId="125" fillId="0" borderId="101" xfId="20" applyNumberFormat="1" applyFont="1" applyBorder="1" applyAlignment="1">
      <alignment horizontal="center" vertical="center" wrapText="1"/>
    </xf>
    <xf numFmtId="188" fontId="125" fillId="53" borderId="104" xfId="20" applyNumberFormat="1" applyFont="1" applyFill="1" applyBorder="1" applyAlignment="1">
      <alignment horizontal="center" vertical="center" wrapText="1"/>
    </xf>
    <xf numFmtId="188" fontId="125" fillId="53" borderId="101" xfId="20" applyNumberFormat="1" applyFont="1" applyFill="1" applyBorder="1" applyAlignment="1">
      <alignment horizontal="center" vertical="center" wrapText="1"/>
    </xf>
    <xf numFmtId="188" fontId="125" fillId="53" borderId="103" xfId="20" applyNumberFormat="1" applyFont="1" applyFill="1" applyBorder="1" applyAlignment="1">
      <alignment horizontal="center" vertical="center" wrapText="1"/>
    </xf>
    <xf numFmtId="188" fontId="125" fillId="53" borderId="102" xfId="20" applyNumberFormat="1" applyFont="1" applyFill="1" applyBorder="1" applyAlignment="1">
      <alignment horizontal="center" vertical="center" wrapText="1"/>
    </xf>
    <xf numFmtId="0" fontId="124" fillId="0" borderId="104" xfId="20" applyFont="1" applyBorder="1" applyAlignment="1">
      <alignment vertical="center" wrapText="1"/>
    </xf>
    <xf numFmtId="0" fontId="124" fillId="0" borderId="101" xfId="20" applyFont="1" applyBorder="1" applyAlignment="1">
      <alignment vertical="center" wrapText="1"/>
    </xf>
    <xf numFmtId="0" fontId="126" fillId="0" borderId="104" xfId="20" applyFont="1" applyBorder="1" applyAlignment="1">
      <alignment horizontal="center" vertical="center" wrapText="1"/>
    </xf>
    <xf numFmtId="0" fontId="126" fillId="0" borderId="101" xfId="20" applyFont="1" applyBorder="1" applyAlignment="1">
      <alignment horizontal="center" vertical="center" wrapText="1"/>
    </xf>
    <xf numFmtId="0" fontId="80" fillId="0" borderId="104" xfId="20" applyFont="1" applyBorder="1" applyAlignment="1">
      <alignment horizontal="center" vertical="center" wrapText="1"/>
    </xf>
    <xf numFmtId="177" fontId="124" fillId="0" borderId="104" xfId="20" applyNumberFormat="1" applyFont="1" applyBorder="1" applyAlignment="1">
      <alignment horizontal="center" vertical="center" wrapText="1"/>
    </xf>
    <xf numFmtId="177" fontId="124" fillId="0" borderId="101" xfId="20" applyNumberFormat="1" applyFont="1" applyBorder="1" applyAlignment="1">
      <alignment horizontal="center" vertical="center" wrapText="1"/>
    </xf>
    <xf numFmtId="0" fontId="80" fillId="0" borderId="104" xfId="18" applyFont="1" applyBorder="1" applyAlignment="1">
      <alignment horizontal="center" vertical="center"/>
    </xf>
    <xf numFmtId="0" fontId="80" fillId="0" borderId="101" xfId="18" applyFont="1" applyBorder="1" applyAlignment="1">
      <alignment horizontal="center" vertical="center"/>
    </xf>
    <xf numFmtId="0" fontId="80" fillId="0" borderId="104" xfId="20" applyFont="1" applyBorder="1" applyAlignment="1">
      <alignment vertical="center" wrapText="1"/>
    </xf>
    <xf numFmtId="0" fontId="80" fillId="0" borderId="101" xfId="20" applyFont="1" applyBorder="1" applyAlignment="1">
      <alignment vertical="center" wrapText="1"/>
    </xf>
    <xf numFmtId="0" fontId="124" fillId="0" borderId="103" xfId="20" applyFont="1" applyBorder="1" applyAlignment="1">
      <alignment horizontal="center" vertical="center" wrapText="1"/>
    </xf>
    <xf numFmtId="0" fontId="124" fillId="0" borderId="102" xfId="20" applyFont="1" applyBorder="1" applyAlignment="1">
      <alignment horizontal="center" vertical="center" wrapText="1"/>
    </xf>
    <xf numFmtId="0" fontId="80" fillId="0" borderId="108" xfId="18" applyFont="1" applyBorder="1" applyAlignment="1">
      <alignment horizontal="center" vertical="center"/>
    </xf>
    <xf numFmtId="0" fontId="80" fillId="0" borderId="102" xfId="18" applyFont="1" applyBorder="1" applyAlignment="1">
      <alignment horizontal="center" vertical="center"/>
    </xf>
    <xf numFmtId="177" fontId="80" fillId="0" borderId="104" xfId="20" applyNumberFormat="1" applyFont="1" applyBorder="1" applyAlignment="1">
      <alignment horizontal="center" vertical="center" wrapText="1"/>
    </xf>
    <xf numFmtId="177" fontId="80" fillId="0" borderId="101" xfId="20" applyNumberFormat="1" applyFont="1" applyBorder="1" applyAlignment="1">
      <alignment horizontal="center" vertical="center" wrapText="1"/>
    </xf>
    <xf numFmtId="188" fontId="125" fillId="53" borderId="108" xfId="20" applyNumberFormat="1" applyFont="1" applyFill="1" applyBorder="1" applyAlignment="1">
      <alignment horizontal="center" vertical="center" wrapText="1"/>
    </xf>
    <xf numFmtId="0" fontId="80" fillId="0" borderId="108" xfId="20" applyFont="1" applyBorder="1" applyAlignment="1">
      <alignment vertical="center" wrapText="1"/>
    </xf>
    <xf numFmtId="0" fontId="80" fillId="0" borderId="102" xfId="20" applyFont="1" applyBorder="1" applyAlignment="1">
      <alignment vertical="center" wrapText="1"/>
    </xf>
    <xf numFmtId="0" fontId="126" fillId="0" borderId="108" xfId="20" applyFont="1" applyBorder="1" applyAlignment="1">
      <alignment horizontal="center" vertical="center" wrapText="1"/>
    </xf>
    <xf numFmtId="0" fontId="126" fillId="0" borderId="102" xfId="20" applyFont="1" applyBorder="1" applyAlignment="1">
      <alignment horizontal="center" vertical="center" wrapText="1"/>
    </xf>
    <xf numFmtId="177" fontId="80" fillId="0" borderId="108" xfId="20" applyNumberFormat="1" applyFont="1" applyBorder="1" applyAlignment="1">
      <alignment horizontal="center" vertical="center" wrapText="1"/>
    </xf>
    <xf numFmtId="177" fontId="80" fillId="0" borderId="102" xfId="20" applyNumberFormat="1" applyFont="1" applyBorder="1" applyAlignment="1">
      <alignment horizontal="center" vertical="center" wrapText="1"/>
    </xf>
    <xf numFmtId="188" fontId="125" fillId="0" borderId="108" xfId="20" applyNumberFormat="1" applyFont="1" applyBorder="1" applyAlignment="1">
      <alignment horizontal="center" vertical="center" wrapText="1"/>
    </xf>
    <xf numFmtId="188" fontId="125" fillId="0" borderId="102" xfId="20" applyNumberFormat="1" applyFont="1" applyBorder="1" applyAlignment="1">
      <alignment horizontal="center" vertical="center" wrapText="1"/>
    </xf>
    <xf numFmtId="0" fontId="80" fillId="0" borderId="104" xfId="18" applyFont="1" applyBorder="1" applyAlignment="1">
      <alignment horizontal="center" vertical="center" wrapText="1"/>
    </xf>
    <xf numFmtId="188" fontId="82" fillId="0" borderId="104" xfId="20" applyNumberFormat="1" applyFont="1" applyBorder="1" applyAlignment="1">
      <alignment horizontal="center" vertical="center" wrapText="1"/>
    </xf>
    <xf numFmtId="188" fontId="82" fillId="0" borderId="101" xfId="20" applyNumberFormat="1" applyFont="1" applyBorder="1" applyAlignment="1">
      <alignment horizontal="center" vertical="center" wrapText="1"/>
    </xf>
    <xf numFmtId="188" fontId="82" fillId="53" borderId="104" xfId="20" applyNumberFormat="1" applyFont="1" applyFill="1" applyBorder="1" applyAlignment="1">
      <alignment horizontal="center" vertical="center" wrapText="1"/>
    </xf>
    <xf numFmtId="188" fontId="82" fillId="53" borderId="101" xfId="20" applyNumberFormat="1" applyFont="1" applyFill="1" applyBorder="1" applyAlignment="1">
      <alignment horizontal="center" vertical="center" wrapText="1"/>
    </xf>
    <xf numFmtId="188" fontId="82" fillId="53" borderId="103" xfId="20" applyNumberFormat="1" applyFont="1" applyFill="1" applyBorder="1" applyAlignment="1">
      <alignment horizontal="center" vertical="center" wrapText="1"/>
    </xf>
    <xf numFmtId="188" fontId="82" fillId="53" borderId="102" xfId="20" applyNumberFormat="1" applyFont="1" applyFill="1" applyBorder="1" applyAlignment="1">
      <alignment horizontal="center" vertical="center" wrapText="1"/>
    </xf>
    <xf numFmtId="0" fontId="82" fillId="0" borderId="104" xfId="20" applyFont="1" applyBorder="1" applyAlignment="1">
      <alignment horizontal="center" vertical="center" wrapText="1"/>
    </xf>
    <xf numFmtId="0" fontId="82" fillId="0" borderId="101" xfId="20" applyFont="1" applyBorder="1" applyAlignment="1">
      <alignment horizontal="center" vertical="center" wrapText="1"/>
    </xf>
    <xf numFmtId="0" fontId="58" fillId="0" borderId="0" xfId="0" applyFont="1" applyAlignment="1">
      <alignment horizontal="right"/>
    </xf>
    <xf numFmtId="0" fontId="57" fillId="0" borderId="0" xfId="0" applyFont="1" applyAlignment="1">
      <alignment horizontal="right"/>
    </xf>
    <xf numFmtId="0" fontId="112" fillId="0" borderId="0" xfId="0" applyFont="1" applyAlignment="1">
      <alignment horizontal="center" vertical="center"/>
    </xf>
    <xf numFmtId="0" fontId="0" fillId="0" borderId="0" xfId="0" applyAlignment="1">
      <alignment horizontal="center" vertical="center"/>
    </xf>
    <xf numFmtId="0" fontId="110" fillId="0" borderId="88" xfId="15" applyFont="1" applyAlignment="1">
      <alignment horizontal="center" vertical="center"/>
    </xf>
    <xf numFmtId="0" fontId="13" fillId="0" borderId="20" xfId="0" applyFont="1" applyBorder="1" applyAlignment="1">
      <alignment horizontal="left" vertical="center" wrapText="1"/>
    </xf>
    <xf numFmtId="0" fontId="13" fillId="0" borderId="17" xfId="0" applyFont="1" applyBorder="1" applyAlignment="1">
      <alignment horizontal="left" vertical="center" wrapText="1"/>
    </xf>
    <xf numFmtId="0" fontId="13" fillId="0" borderId="22" xfId="0" applyFont="1" applyBorder="1" applyAlignment="1">
      <alignment horizontal="left" vertical="center" wrapText="1"/>
    </xf>
    <xf numFmtId="0" fontId="52" fillId="25" borderId="0" xfId="0" applyFont="1" applyFill="1" applyAlignment="1">
      <alignment horizontal="center" vertical="center"/>
    </xf>
    <xf numFmtId="0" fontId="17" fillId="9" borderId="5" xfId="0" applyFont="1" applyFill="1" applyBorder="1" applyAlignment="1">
      <alignment horizontal="center"/>
    </xf>
    <xf numFmtId="0" fontId="17" fillId="9" borderId="11" xfId="0" applyFont="1" applyFill="1" applyBorder="1" applyAlignment="1">
      <alignment horizontal="center"/>
    </xf>
    <xf numFmtId="0" fontId="17" fillId="9" borderId="12" xfId="0" applyFont="1" applyFill="1" applyBorder="1" applyAlignment="1">
      <alignment horizontal="center"/>
    </xf>
    <xf numFmtId="165" fontId="8" fillId="0" borderId="0" xfId="1" applyNumberFormat="1" applyFont="1" applyAlignment="1" applyProtection="1">
      <alignment horizontal="center" wrapText="1"/>
    </xf>
    <xf numFmtId="165" fontId="17" fillId="9" borderId="41" xfId="1" applyNumberFormat="1" applyFont="1" applyFill="1" applyBorder="1" applyAlignment="1" applyProtection="1">
      <alignment horizontal="center" wrapText="1"/>
    </xf>
    <xf numFmtId="165" fontId="17" fillId="9" borderId="42" xfId="1" applyNumberFormat="1" applyFont="1" applyFill="1" applyBorder="1" applyAlignment="1" applyProtection="1">
      <alignment horizontal="center" wrapText="1"/>
    </xf>
    <xf numFmtId="165" fontId="17" fillId="9" borderId="43" xfId="1" applyNumberFormat="1" applyFont="1" applyFill="1" applyBorder="1" applyAlignment="1" applyProtection="1">
      <alignment horizontal="center" wrapText="1"/>
    </xf>
    <xf numFmtId="165" fontId="17" fillId="9" borderId="31" xfId="1" applyNumberFormat="1" applyFont="1" applyFill="1" applyBorder="1" applyAlignment="1" applyProtection="1">
      <alignment horizontal="center" wrapText="1"/>
    </xf>
    <xf numFmtId="165" fontId="17" fillId="9" borderId="16" xfId="1" applyNumberFormat="1" applyFont="1" applyFill="1" applyBorder="1" applyAlignment="1" applyProtection="1">
      <alignment horizontal="center" wrapText="1"/>
    </xf>
    <xf numFmtId="165" fontId="17" fillId="9" borderId="44" xfId="1" applyNumberFormat="1" applyFont="1" applyFill="1" applyBorder="1" applyAlignment="1" applyProtection="1">
      <alignment horizontal="center" wrapText="1"/>
    </xf>
    <xf numFmtId="165" fontId="16" fillId="10" borderId="2" xfId="1" applyNumberFormat="1" applyFont="1" applyFill="1" applyBorder="1" applyAlignment="1" applyProtection="1">
      <alignment horizontal="center" vertical="center" wrapText="1"/>
    </xf>
    <xf numFmtId="165" fontId="13" fillId="5" borderId="2" xfId="1" applyNumberFormat="1" applyFont="1" applyFill="1" applyBorder="1" applyAlignment="1" applyProtection="1">
      <alignment horizontal="center" vertical="center" wrapText="1"/>
    </xf>
    <xf numFmtId="165" fontId="13" fillId="5" borderId="8" xfId="1" applyNumberFormat="1" applyFont="1" applyFill="1" applyBorder="1" applyAlignment="1" applyProtection="1">
      <alignment horizontal="center" vertical="center" wrapText="1"/>
    </xf>
    <xf numFmtId="165" fontId="13" fillId="5" borderId="10" xfId="1" applyNumberFormat="1" applyFont="1" applyFill="1" applyBorder="1" applyAlignment="1" applyProtection="1">
      <alignment horizontal="center" vertical="center" wrapText="1"/>
    </xf>
    <xf numFmtId="165" fontId="13" fillId="5" borderId="6" xfId="1" applyNumberFormat="1" applyFont="1" applyFill="1" applyBorder="1" applyAlignment="1" applyProtection="1">
      <alignment horizontal="center" vertical="center" wrapText="1"/>
    </xf>
    <xf numFmtId="165" fontId="13" fillId="5" borderId="7" xfId="1" applyNumberFormat="1" applyFont="1" applyFill="1" applyBorder="1" applyAlignment="1" applyProtection="1">
      <alignment horizontal="center" vertical="center" wrapText="1"/>
    </xf>
    <xf numFmtId="165" fontId="17" fillId="9" borderId="5" xfId="1" applyNumberFormat="1" applyFont="1" applyFill="1" applyBorder="1" applyAlignment="1" applyProtection="1">
      <alignment horizontal="center" vertical="center" wrapText="1"/>
    </xf>
    <xf numFmtId="165" fontId="17" fillId="9" borderId="11" xfId="1" applyNumberFormat="1" applyFont="1" applyFill="1" applyBorder="1" applyAlignment="1" applyProtection="1">
      <alignment horizontal="center" vertical="center" wrapText="1"/>
    </xf>
    <xf numFmtId="165" fontId="17" fillId="9" borderId="12" xfId="1" applyNumberFormat="1" applyFont="1" applyFill="1" applyBorder="1" applyAlignment="1" applyProtection="1">
      <alignment horizontal="center" vertical="center" wrapText="1"/>
    </xf>
    <xf numFmtId="165" fontId="16" fillId="10" borderId="55" xfId="1" applyNumberFormat="1" applyFont="1" applyFill="1" applyBorder="1" applyAlignment="1" applyProtection="1">
      <alignment horizontal="center" wrapText="1"/>
    </xf>
    <xf numFmtId="165" fontId="16" fillId="10" borderId="56" xfId="1" applyNumberFormat="1" applyFont="1" applyFill="1" applyBorder="1" applyAlignment="1" applyProtection="1">
      <alignment horizontal="center" wrapText="1"/>
    </xf>
    <xf numFmtId="165" fontId="16" fillId="10" borderId="57" xfId="1" applyNumberFormat="1" applyFont="1" applyFill="1" applyBorder="1" applyAlignment="1" applyProtection="1">
      <alignment horizontal="center" wrapText="1"/>
    </xf>
    <xf numFmtId="165" fontId="16" fillId="10" borderId="55" xfId="1" applyNumberFormat="1" applyFont="1" applyFill="1" applyBorder="1" applyAlignment="1" applyProtection="1">
      <alignment horizontal="center" vertical="center" wrapText="1"/>
    </xf>
    <xf numFmtId="165" fontId="16" fillId="10" borderId="56" xfId="1" applyNumberFormat="1" applyFont="1" applyFill="1" applyBorder="1" applyAlignment="1" applyProtection="1">
      <alignment horizontal="center" vertical="center" wrapText="1"/>
    </xf>
    <xf numFmtId="165" fontId="16" fillId="10" borderId="57" xfId="1" applyNumberFormat="1" applyFont="1" applyFill="1" applyBorder="1" applyAlignment="1" applyProtection="1">
      <alignment horizontal="center" vertical="center" wrapText="1"/>
    </xf>
    <xf numFmtId="165" fontId="17" fillId="9" borderId="5" xfId="1" applyNumberFormat="1" applyFont="1" applyFill="1" applyBorder="1" applyAlignment="1" applyProtection="1">
      <alignment horizontal="center" wrapText="1"/>
    </xf>
    <xf numFmtId="165" fontId="17" fillId="9" borderId="11" xfId="1" applyNumberFormat="1" applyFont="1" applyFill="1" applyBorder="1" applyAlignment="1" applyProtection="1">
      <alignment horizontal="center" wrapText="1"/>
    </xf>
    <xf numFmtId="165" fontId="17" fillId="9" borderId="12" xfId="1" applyNumberFormat="1" applyFont="1" applyFill="1" applyBorder="1" applyAlignment="1" applyProtection="1">
      <alignment horizontal="center" wrapText="1"/>
    </xf>
    <xf numFmtId="165" fontId="16" fillId="10" borderId="12" xfId="1" applyNumberFormat="1" applyFont="1" applyFill="1" applyBorder="1" applyAlignment="1" applyProtection="1">
      <alignment horizontal="center" vertical="center" wrapText="1"/>
    </xf>
    <xf numFmtId="165" fontId="13" fillId="5" borderId="12" xfId="1" applyNumberFormat="1" applyFont="1" applyFill="1" applyBorder="1" applyAlignment="1" applyProtection="1">
      <alignment horizontal="center" vertical="center" wrapText="1"/>
    </xf>
    <xf numFmtId="165" fontId="13" fillId="5" borderId="15" xfId="1" applyNumberFormat="1" applyFont="1" applyFill="1" applyBorder="1" applyAlignment="1" applyProtection="1">
      <alignment horizontal="center" vertical="center" wrapText="1"/>
    </xf>
    <xf numFmtId="165" fontId="16" fillId="10" borderId="2" xfId="1" applyNumberFormat="1" applyFont="1" applyFill="1" applyBorder="1" applyAlignment="1" applyProtection="1">
      <alignment horizontal="center" vertical="center"/>
    </xf>
    <xf numFmtId="165" fontId="17" fillId="9" borderId="2" xfId="1" applyNumberFormat="1" applyFont="1" applyFill="1" applyBorder="1" applyAlignment="1" applyProtection="1">
      <alignment horizontal="center" wrapText="1"/>
    </xf>
    <xf numFmtId="0" fontId="17" fillId="9" borderId="32" xfId="0" applyFont="1" applyFill="1" applyBorder="1" applyAlignment="1">
      <alignment horizontal="center"/>
    </xf>
    <xf numFmtId="0" fontId="17" fillId="9" borderId="33" xfId="0" applyFont="1" applyFill="1" applyBorder="1" applyAlignment="1">
      <alignment horizontal="center"/>
    </xf>
    <xf numFmtId="0" fontId="17" fillId="9" borderId="34" xfId="0" applyFont="1" applyFill="1" applyBorder="1" applyAlignment="1">
      <alignment horizontal="center"/>
    </xf>
    <xf numFmtId="0" fontId="17" fillId="9" borderId="2" xfId="0" applyFont="1" applyFill="1" applyBorder="1" applyAlignment="1">
      <alignment horizontal="center"/>
    </xf>
    <xf numFmtId="0" fontId="17" fillId="9" borderId="8" xfId="0" applyFont="1" applyFill="1" applyBorder="1" applyAlignment="1">
      <alignment horizontal="center" vertical="center" wrapText="1"/>
    </xf>
    <xf numFmtId="0" fontId="17" fillId="9" borderId="10" xfId="0" applyFont="1" applyFill="1" applyBorder="1" applyAlignment="1">
      <alignment horizontal="center" vertical="center" wrapText="1"/>
    </xf>
    <xf numFmtId="0" fontId="11" fillId="0" borderId="0" xfId="5" applyFont="1" applyAlignment="1" applyProtection="1">
      <alignment horizontal="center" vertical="center" wrapText="1"/>
    </xf>
    <xf numFmtId="0" fontId="5" fillId="0" borderId="0" xfId="0" applyFont="1" applyAlignment="1">
      <alignment horizontal="center" vertical="center" wrapText="1"/>
    </xf>
    <xf numFmtId="0" fontId="10" fillId="13" borderId="73" xfId="0" applyFont="1" applyFill="1" applyBorder="1" applyAlignment="1">
      <alignment horizontal="center" vertical="center" wrapText="1"/>
    </xf>
    <xf numFmtId="0" fontId="10" fillId="13" borderId="0" xfId="0" applyFont="1" applyFill="1" applyAlignment="1">
      <alignment horizontal="center" vertical="center" wrapText="1"/>
    </xf>
    <xf numFmtId="0" fontId="17" fillId="9" borderId="32" xfId="0" applyFont="1" applyFill="1" applyBorder="1" applyAlignment="1">
      <alignment horizontal="center" wrapText="1"/>
    </xf>
    <xf numFmtId="0" fontId="17" fillId="9" borderId="33" xfId="0" applyFont="1" applyFill="1" applyBorder="1" applyAlignment="1">
      <alignment horizontal="center" wrapText="1"/>
    </xf>
    <xf numFmtId="0" fontId="17" fillId="9" borderId="34" xfId="0" applyFont="1" applyFill="1" applyBorder="1" applyAlignment="1">
      <alignment horizontal="center" wrapText="1"/>
    </xf>
    <xf numFmtId="0" fontId="12" fillId="9" borderId="2" xfId="0" applyFont="1" applyFill="1" applyBorder="1" applyAlignment="1">
      <alignment horizontal="center" wrapText="1"/>
    </xf>
    <xf numFmtId="0" fontId="19" fillId="3" borderId="42" xfId="0" applyFont="1" applyFill="1" applyBorder="1" applyAlignment="1">
      <alignment horizontal="center"/>
    </xf>
    <xf numFmtId="0" fontId="52" fillId="9" borderId="41" xfId="0" applyFont="1" applyFill="1" applyBorder="1" applyAlignment="1">
      <alignment horizontal="center" wrapText="1"/>
    </xf>
    <xf numFmtId="0" fontId="52" fillId="9" borderId="31" xfId="0" applyFont="1" applyFill="1" applyBorder="1" applyAlignment="1">
      <alignment horizontal="center" wrapText="1"/>
    </xf>
    <xf numFmtId="0" fontId="108" fillId="25" borderId="0" xfId="0" applyFont="1" applyFill="1" applyAlignment="1">
      <alignment horizontal="center" vertical="center"/>
    </xf>
    <xf numFmtId="0" fontId="13" fillId="5" borderId="6" xfId="0" applyFont="1" applyFill="1" applyBorder="1" applyAlignment="1">
      <alignment horizontal="center" vertical="center"/>
    </xf>
    <xf numFmtId="0" fontId="13" fillId="5" borderId="27" xfId="0" applyFont="1" applyFill="1" applyBorder="1" applyAlignment="1">
      <alignment horizontal="center" vertical="center"/>
    </xf>
    <xf numFmtId="0" fontId="13" fillId="5" borderId="7" xfId="0" applyFont="1" applyFill="1" applyBorder="1" applyAlignment="1">
      <alignment horizontal="center" vertical="center"/>
    </xf>
    <xf numFmtId="0" fontId="16" fillId="11" borderId="5" xfId="0" applyFont="1" applyFill="1" applyBorder="1" applyAlignment="1">
      <alignment horizontal="center" vertical="center"/>
    </xf>
    <xf numFmtId="0" fontId="16" fillId="11" borderId="11" xfId="0" applyFont="1" applyFill="1" applyBorder="1" applyAlignment="1">
      <alignment horizontal="center" vertical="center"/>
    </xf>
    <xf numFmtId="0" fontId="16" fillId="11" borderId="12" xfId="0" applyFont="1" applyFill="1" applyBorder="1" applyAlignment="1">
      <alignment horizontal="center" vertical="center"/>
    </xf>
    <xf numFmtId="0" fontId="28" fillId="11" borderId="6" xfId="0" applyFont="1" applyFill="1" applyBorder="1" applyAlignment="1">
      <alignment horizontal="center" vertical="center"/>
    </xf>
    <xf numFmtId="0" fontId="28" fillId="11" borderId="27" xfId="0" applyFont="1" applyFill="1" applyBorder="1" applyAlignment="1">
      <alignment horizontal="center" vertical="center"/>
    </xf>
    <xf numFmtId="0" fontId="28" fillId="11" borderId="7" xfId="0" applyFont="1" applyFill="1" applyBorder="1" applyAlignment="1">
      <alignment horizontal="center" vertical="center"/>
    </xf>
    <xf numFmtId="0" fontId="13" fillId="10" borderId="5" xfId="0" applyFont="1" applyFill="1" applyBorder="1" applyAlignment="1">
      <alignment horizontal="center" vertical="center" wrapText="1"/>
    </xf>
    <xf numFmtId="0" fontId="13" fillId="10" borderId="11" xfId="0" applyFont="1" applyFill="1" applyBorder="1" applyAlignment="1">
      <alignment horizontal="center" vertical="center" wrapText="1"/>
    </xf>
    <xf numFmtId="0" fontId="13" fillId="10" borderId="12" xfId="0" applyFont="1" applyFill="1" applyBorder="1" applyAlignment="1">
      <alignment horizontal="center" vertical="center" wrapText="1"/>
    </xf>
    <xf numFmtId="0" fontId="13" fillId="5" borderId="6" xfId="0" applyFont="1" applyFill="1" applyBorder="1" applyAlignment="1">
      <alignment horizontal="center" vertical="center" wrapText="1"/>
    </xf>
    <xf numFmtId="0" fontId="13" fillId="5" borderId="7" xfId="0" applyFont="1" applyFill="1" applyBorder="1" applyAlignment="1">
      <alignment horizontal="center" vertical="center" wrapText="1"/>
    </xf>
    <xf numFmtId="0" fontId="13" fillId="5" borderId="27" xfId="0" applyFont="1" applyFill="1" applyBorder="1" applyAlignment="1">
      <alignment horizontal="center" vertical="center" wrapText="1"/>
    </xf>
    <xf numFmtId="0" fontId="17" fillId="25" borderId="0" xfId="0" applyFont="1" applyFill="1" applyAlignment="1">
      <alignment horizontal="center" vertical="center"/>
    </xf>
    <xf numFmtId="0" fontId="13" fillId="10" borderId="55" xfId="0" applyFont="1" applyFill="1" applyBorder="1" applyAlignment="1">
      <alignment horizontal="center" vertical="center" wrapText="1"/>
    </xf>
    <xf numFmtId="0" fontId="13" fillId="10" borderId="56" xfId="0" applyFont="1" applyFill="1" applyBorder="1" applyAlignment="1">
      <alignment horizontal="center" vertical="center" wrapText="1"/>
    </xf>
    <xf numFmtId="0" fontId="13" fillId="10" borderId="69" xfId="0" applyFont="1" applyFill="1" applyBorder="1" applyAlignment="1">
      <alignment horizontal="center" vertical="center" wrapText="1"/>
    </xf>
    <xf numFmtId="0" fontId="13" fillId="10" borderId="57" xfId="0" applyFont="1" applyFill="1" applyBorder="1" applyAlignment="1">
      <alignment horizontal="center" vertical="center" wrapText="1"/>
    </xf>
    <xf numFmtId="0" fontId="13" fillId="10" borderId="58" xfId="0" applyFont="1" applyFill="1" applyBorder="1" applyAlignment="1">
      <alignment horizontal="center" vertical="center" wrapText="1"/>
    </xf>
    <xf numFmtId="0" fontId="13" fillId="10" borderId="16" xfId="0" applyFont="1" applyFill="1" applyBorder="1" applyAlignment="1">
      <alignment horizontal="center" vertical="center" wrapText="1"/>
    </xf>
    <xf numFmtId="0" fontId="13" fillId="5" borderId="8" xfId="0" applyFont="1" applyFill="1" applyBorder="1" applyAlignment="1">
      <alignment horizontal="center" vertical="center"/>
    </xf>
    <xf numFmtId="0" fontId="13" fillId="5" borderId="10" xfId="0" applyFont="1" applyFill="1" applyBorder="1" applyAlignment="1">
      <alignment horizontal="center" vertical="center"/>
    </xf>
    <xf numFmtId="0" fontId="13" fillId="5" borderId="9" xfId="0" applyFont="1" applyFill="1" applyBorder="1" applyAlignment="1">
      <alignment horizontal="center" vertical="center"/>
    </xf>
    <xf numFmtId="0" fontId="13" fillId="10" borderId="8" xfId="0" applyFont="1" applyFill="1" applyBorder="1" applyAlignment="1">
      <alignment horizontal="center" vertical="center" wrapText="1"/>
    </xf>
    <xf numFmtId="0" fontId="13" fillId="10" borderId="10" xfId="0" applyFont="1" applyFill="1" applyBorder="1" applyAlignment="1">
      <alignment horizontal="center" vertical="center"/>
    </xf>
    <xf numFmtId="0" fontId="6" fillId="0" borderId="0" xfId="0" applyFont="1" applyAlignment="1">
      <alignment horizontal="left"/>
    </xf>
    <xf numFmtId="0" fontId="13" fillId="5" borderId="2" xfId="0" applyFont="1" applyFill="1" applyBorder="1" applyAlignment="1">
      <alignment horizontal="center" vertical="center"/>
    </xf>
    <xf numFmtId="0" fontId="13" fillId="5" borderId="5" xfId="0" applyFont="1" applyFill="1" applyBorder="1" applyAlignment="1">
      <alignment horizontal="center" vertical="center" wrapText="1"/>
    </xf>
    <xf numFmtId="0" fontId="13" fillId="5" borderId="12" xfId="0" applyFont="1" applyFill="1" applyBorder="1" applyAlignment="1">
      <alignment horizontal="center" vertical="center" wrapText="1"/>
    </xf>
    <xf numFmtId="9" fontId="10" fillId="5" borderId="6" xfId="2" applyFont="1" applyFill="1" applyBorder="1" applyAlignment="1" applyProtection="1">
      <alignment horizontal="center" vertical="center"/>
    </xf>
    <xf numFmtId="9" fontId="10" fillId="5" borderId="7" xfId="2" applyFont="1" applyFill="1" applyBorder="1" applyAlignment="1" applyProtection="1">
      <alignment horizontal="center" vertical="center"/>
    </xf>
    <xf numFmtId="0" fontId="16" fillId="10" borderId="31" xfId="0" applyFont="1" applyFill="1" applyBorder="1" applyAlignment="1">
      <alignment horizontal="center"/>
    </xf>
    <xf numFmtId="0" fontId="16" fillId="10" borderId="16" xfId="0" applyFont="1" applyFill="1" applyBorder="1" applyAlignment="1">
      <alignment horizontal="center"/>
    </xf>
    <xf numFmtId="0" fontId="16" fillId="10" borderId="44" xfId="0" applyFont="1" applyFill="1" applyBorder="1" applyAlignment="1">
      <alignment horizontal="center"/>
    </xf>
    <xf numFmtId="0" fontId="16" fillId="11" borderId="6" xfId="0" applyFont="1" applyFill="1" applyBorder="1" applyAlignment="1">
      <alignment horizontal="center" vertical="center"/>
    </xf>
    <xf numFmtId="0" fontId="16" fillId="11" borderId="7" xfId="0" applyFont="1" applyFill="1" applyBorder="1" applyAlignment="1">
      <alignment horizontal="center" vertical="center"/>
    </xf>
    <xf numFmtId="0" fontId="23" fillId="0" borderId="16" xfId="0" applyFont="1" applyBorder="1" applyAlignment="1">
      <alignment horizontal="center"/>
    </xf>
    <xf numFmtId="0" fontId="13" fillId="5" borderId="2" xfId="0" applyFont="1" applyFill="1" applyBorder="1" applyAlignment="1">
      <alignment horizontal="center" vertical="center" wrapText="1"/>
    </xf>
    <xf numFmtId="0" fontId="12" fillId="25" borderId="0" xfId="0" applyFont="1" applyFill="1" applyAlignment="1">
      <alignment horizontal="center" vertical="center"/>
    </xf>
    <xf numFmtId="0" fontId="17" fillId="9" borderId="32" xfId="0" applyFont="1" applyFill="1" applyBorder="1" applyAlignment="1">
      <alignment horizontal="center" vertical="center"/>
    </xf>
    <xf numFmtId="0" fontId="17" fillId="9" borderId="33" xfId="0" applyFont="1" applyFill="1" applyBorder="1" applyAlignment="1">
      <alignment horizontal="center" vertical="center"/>
    </xf>
    <xf numFmtId="0" fontId="17" fillId="9" borderId="34" xfId="0" applyFont="1" applyFill="1" applyBorder="1" applyAlignment="1">
      <alignment horizontal="center" vertical="center"/>
    </xf>
    <xf numFmtId="0" fontId="16" fillId="10" borderId="5" xfId="0" applyFont="1" applyFill="1" applyBorder="1" applyAlignment="1">
      <alignment horizontal="center" vertical="center" wrapText="1"/>
    </xf>
    <xf numFmtId="0" fontId="16" fillId="10" borderId="11" xfId="0" applyFont="1" applyFill="1" applyBorder="1" applyAlignment="1">
      <alignment horizontal="center" vertical="center" wrapText="1"/>
    </xf>
    <xf numFmtId="0" fontId="16" fillId="10" borderId="12" xfId="0" applyFont="1" applyFill="1" applyBorder="1" applyAlignment="1">
      <alignment horizontal="center" vertical="center" wrapText="1"/>
    </xf>
    <xf numFmtId="0" fontId="16" fillId="10" borderId="2" xfId="0" applyFont="1" applyFill="1" applyBorder="1" applyAlignment="1">
      <alignment horizontal="center" vertical="center" wrapText="1"/>
    </xf>
    <xf numFmtId="0" fontId="13" fillId="5" borderId="5" xfId="0" applyFont="1" applyFill="1" applyBorder="1" applyAlignment="1">
      <alignment horizontal="center" vertical="center"/>
    </xf>
    <xf numFmtId="0" fontId="13" fillId="5" borderId="12" xfId="0" applyFont="1" applyFill="1" applyBorder="1" applyAlignment="1">
      <alignment horizontal="center" vertical="center"/>
    </xf>
    <xf numFmtId="0" fontId="17" fillId="9" borderId="2" xfId="0" applyFont="1" applyFill="1" applyBorder="1" applyAlignment="1">
      <alignment horizontal="center" vertical="center"/>
    </xf>
    <xf numFmtId="9" fontId="10" fillId="5" borderId="6" xfId="2" applyFont="1" applyFill="1" applyBorder="1" applyAlignment="1" applyProtection="1">
      <alignment horizontal="center"/>
    </xf>
    <xf numFmtId="9" fontId="10" fillId="5" borderId="7" xfId="2" applyFont="1" applyFill="1" applyBorder="1" applyAlignment="1" applyProtection="1">
      <alignment horizontal="center"/>
    </xf>
    <xf numFmtId="0" fontId="10" fillId="0" borderId="0" xfId="0" applyFont="1" applyAlignment="1">
      <alignment horizontal="center" vertical="center" wrapText="1"/>
    </xf>
    <xf numFmtId="0" fontId="17" fillId="9" borderId="46" xfId="0" applyFont="1" applyFill="1" applyBorder="1" applyAlignment="1">
      <alignment horizontal="center"/>
    </xf>
    <xf numFmtId="0" fontId="13" fillId="5" borderId="11" xfId="0" applyFont="1" applyFill="1" applyBorder="1" applyAlignment="1">
      <alignment horizontal="center" vertical="center" wrapText="1"/>
    </xf>
    <xf numFmtId="0" fontId="17" fillId="9" borderId="5" xfId="0" applyFont="1" applyFill="1" applyBorder="1" applyAlignment="1">
      <alignment horizontal="center" vertical="center"/>
    </xf>
    <xf numFmtId="0" fontId="17" fillId="9" borderId="11" xfId="0" applyFont="1" applyFill="1" applyBorder="1" applyAlignment="1">
      <alignment horizontal="center" vertical="center"/>
    </xf>
    <xf numFmtId="0" fontId="17" fillId="9" borderId="12" xfId="0" applyFont="1" applyFill="1" applyBorder="1" applyAlignment="1">
      <alignment horizontal="center" vertical="center"/>
    </xf>
    <xf numFmtId="0" fontId="17" fillId="9" borderId="16" xfId="0" applyFont="1" applyFill="1" applyBorder="1" applyAlignment="1">
      <alignment horizontal="center" vertical="center"/>
    </xf>
    <xf numFmtId="0" fontId="16" fillId="5" borderId="2" xfId="0" applyFont="1" applyFill="1" applyBorder="1" applyAlignment="1">
      <alignment horizontal="center" vertical="center"/>
    </xf>
    <xf numFmtId="0" fontId="12" fillId="9" borderId="6" xfId="0" applyFont="1" applyFill="1" applyBorder="1" applyAlignment="1">
      <alignment horizontal="left" vertical="center"/>
    </xf>
    <xf numFmtId="0" fontId="12" fillId="9" borderId="7" xfId="0" applyFont="1" applyFill="1" applyBorder="1" applyAlignment="1">
      <alignment horizontal="left" vertical="center"/>
    </xf>
    <xf numFmtId="0" fontId="60" fillId="0" borderId="73" xfId="0" applyFont="1" applyBorder="1" applyAlignment="1">
      <alignment horizontal="center"/>
    </xf>
    <xf numFmtId="0" fontId="60" fillId="0" borderId="0" xfId="0" applyFont="1" applyAlignment="1">
      <alignment horizontal="center"/>
    </xf>
    <xf numFmtId="0" fontId="54" fillId="11" borderId="5" xfId="0" applyFont="1" applyFill="1" applyBorder="1" applyAlignment="1">
      <alignment horizontal="center"/>
    </xf>
    <xf numFmtId="0" fontId="54" fillId="11" borderId="11" xfId="0" applyFont="1" applyFill="1" applyBorder="1" applyAlignment="1">
      <alignment horizontal="center"/>
    </xf>
    <xf numFmtId="0" fontId="54" fillId="11" borderId="12" xfId="0" applyFont="1" applyFill="1" applyBorder="1" applyAlignment="1">
      <alignment horizontal="center"/>
    </xf>
    <xf numFmtId="0" fontId="54" fillId="15" borderId="5" xfId="0" applyFont="1" applyFill="1" applyBorder="1" applyAlignment="1">
      <alignment horizontal="center"/>
    </xf>
    <xf numFmtId="0" fontId="54" fillId="15" borderId="11" xfId="0" applyFont="1" applyFill="1" applyBorder="1" applyAlignment="1">
      <alignment horizontal="center"/>
    </xf>
    <xf numFmtId="0" fontId="54" fillId="15" borderId="12" xfId="0" applyFont="1" applyFill="1" applyBorder="1" applyAlignment="1">
      <alignment horizontal="center"/>
    </xf>
    <xf numFmtId="0" fontId="94" fillId="25" borderId="0" xfId="0" applyFont="1" applyFill="1" applyAlignment="1">
      <alignment horizontal="center"/>
    </xf>
    <xf numFmtId="0" fontId="70" fillId="25" borderId="0" xfId="0" applyFont="1" applyFill="1" applyAlignment="1">
      <alignment horizontal="center"/>
    </xf>
    <xf numFmtId="0" fontId="54" fillId="14" borderId="5" xfId="0" applyFont="1" applyFill="1" applyBorder="1" applyAlignment="1">
      <alignment horizontal="center"/>
    </xf>
    <xf numFmtId="0" fontId="54" fillId="14" borderId="11" xfId="0" applyFont="1" applyFill="1" applyBorder="1" applyAlignment="1">
      <alignment horizontal="center"/>
    </xf>
    <xf numFmtId="0" fontId="54" fillId="14" borderId="12" xfId="0" applyFont="1" applyFill="1" applyBorder="1" applyAlignment="1">
      <alignment horizontal="center"/>
    </xf>
    <xf numFmtId="0" fontId="54" fillId="0" borderId="40" xfId="0" applyFont="1" applyBorder="1" applyAlignment="1">
      <alignment horizontal="center"/>
    </xf>
    <xf numFmtId="0" fontId="54" fillId="0" borderId="0" xfId="0" applyFont="1" applyAlignment="1">
      <alignment horizontal="center"/>
    </xf>
    <xf numFmtId="0" fontId="96" fillId="25" borderId="0" xfId="0" applyFont="1" applyFill="1" applyAlignment="1">
      <alignment horizontal="center"/>
    </xf>
    <xf numFmtId="0" fontId="54" fillId="21" borderId="5" xfId="0" applyFont="1" applyFill="1" applyBorder="1" applyAlignment="1">
      <alignment horizontal="center"/>
    </xf>
    <xf numFmtId="0" fontId="54" fillId="21" borderId="11" xfId="0" applyFont="1" applyFill="1" applyBorder="1" applyAlignment="1">
      <alignment horizontal="center"/>
    </xf>
    <xf numFmtId="0" fontId="54" fillId="21" borderId="12" xfId="0" applyFont="1" applyFill="1" applyBorder="1" applyAlignment="1">
      <alignment horizontal="center"/>
    </xf>
    <xf numFmtId="0" fontId="54" fillId="22" borderId="5" xfId="0" applyFont="1" applyFill="1" applyBorder="1" applyAlignment="1">
      <alignment horizontal="center"/>
    </xf>
    <xf numFmtId="0" fontId="54" fillId="22" borderId="11" xfId="0" applyFont="1" applyFill="1" applyBorder="1" applyAlignment="1">
      <alignment horizontal="center"/>
    </xf>
    <xf numFmtId="0" fontId="54" fillId="22" borderId="12" xfId="0" applyFont="1" applyFill="1" applyBorder="1" applyAlignment="1">
      <alignment horizontal="center"/>
    </xf>
    <xf numFmtId="0" fontId="54" fillId="23" borderId="5" xfId="0" applyFont="1" applyFill="1" applyBorder="1" applyAlignment="1">
      <alignment horizontal="center"/>
    </xf>
    <xf numFmtId="0" fontId="54" fillId="23" borderId="11" xfId="0" applyFont="1" applyFill="1" applyBorder="1" applyAlignment="1">
      <alignment horizontal="center"/>
    </xf>
    <xf numFmtId="0" fontId="54" fillId="23" borderId="12" xfId="0" applyFont="1" applyFill="1" applyBorder="1" applyAlignment="1">
      <alignment horizontal="center"/>
    </xf>
    <xf numFmtId="0" fontId="54" fillId="17" borderId="5" xfId="0" applyFont="1" applyFill="1" applyBorder="1" applyAlignment="1">
      <alignment horizontal="center"/>
    </xf>
    <xf numFmtId="0" fontId="54" fillId="17" borderId="11" xfId="0" applyFont="1" applyFill="1" applyBorder="1" applyAlignment="1">
      <alignment horizontal="center"/>
    </xf>
    <xf numFmtId="0" fontId="54" fillId="17" borderId="12" xfId="0" applyFont="1" applyFill="1" applyBorder="1" applyAlignment="1">
      <alignment horizontal="center"/>
    </xf>
    <xf numFmtId="0" fontId="0" fillId="0" borderId="5" xfId="0" applyBorder="1" applyAlignment="1">
      <alignment horizontal="center"/>
    </xf>
    <xf numFmtId="0" fontId="0" fillId="0" borderId="12" xfId="0" applyBorder="1" applyAlignment="1">
      <alignment horizontal="center"/>
    </xf>
    <xf numFmtId="0" fontId="54" fillId="18" borderId="5" xfId="0" applyFont="1" applyFill="1" applyBorder="1" applyAlignment="1">
      <alignment horizontal="center"/>
    </xf>
    <xf numFmtId="0" fontId="54" fillId="18" borderId="42" xfId="0" applyFont="1" applyFill="1" applyBorder="1" applyAlignment="1">
      <alignment horizontal="center"/>
    </xf>
    <xf numFmtId="0" fontId="54" fillId="18" borderId="43" xfId="0" applyFont="1" applyFill="1" applyBorder="1" applyAlignment="1">
      <alignment horizontal="center"/>
    </xf>
    <xf numFmtId="0" fontId="54" fillId="20" borderId="5" xfId="0" applyFont="1" applyFill="1" applyBorder="1" applyAlignment="1">
      <alignment horizontal="center"/>
    </xf>
    <xf numFmtId="0" fontId="54" fillId="20" borderId="11" xfId="0" applyFont="1" applyFill="1" applyBorder="1" applyAlignment="1">
      <alignment horizontal="center"/>
    </xf>
    <xf numFmtId="0" fontId="54" fillId="20" borderId="12" xfId="0" applyFont="1" applyFill="1" applyBorder="1" applyAlignment="1">
      <alignment horizontal="center"/>
    </xf>
    <xf numFmtId="0" fontId="54" fillId="10" borderId="5" xfId="0" applyFont="1" applyFill="1" applyBorder="1" applyAlignment="1">
      <alignment horizontal="center"/>
    </xf>
    <xf numFmtId="0" fontId="54" fillId="10" borderId="11" xfId="0" applyFont="1" applyFill="1" applyBorder="1" applyAlignment="1">
      <alignment horizontal="center"/>
    </xf>
    <xf numFmtId="0" fontId="54" fillId="10" borderId="12" xfId="0" applyFont="1" applyFill="1" applyBorder="1" applyAlignment="1">
      <alignment horizontal="center"/>
    </xf>
    <xf numFmtId="0" fontId="54" fillId="17" borderId="31" xfId="0" applyFont="1" applyFill="1" applyBorder="1" applyAlignment="1">
      <alignment horizontal="center"/>
    </xf>
    <xf numFmtId="0" fontId="54" fillId="17" borderId="16" xfId="0" applyFont="1" applyFill="1" applyBorder="1" applyAlignment="1">
      <alignment horizontal="center"/>
    </xf>
    <xf numFmtId="0" fontId="54" fillId="17" borderId="0" xfId="0" applyFont="1" applyFill="1" applyAlignment="1">
      <alignment horizontal="center"/>
    </xf>
    <xf numFmtId="0" fontId="54" fillId="17" borderId="42" xfId="0" applyFont="1" applyFill="1" applyBorder="1" applyAlignment="1">
      <alignment horizontal="center"/>
    </xf>
    <xf numFmtId="0" fontId="65" fillId="0" borderId="5" xfId="0" applyFont="1" applyBorder="1" applyAlignment="1">
      <alignment horizontal="center"/>
    </xf>
    <xf numFmtId="0" fontId="65" fillId="0" borderId="11" xfId="0" applyFont="1" applyBorder="1" applyAlignment="1">
      <alignment horizontal="center"/>
    </xf>
    <xf numFmtId="0" fontId="65" fillId="0" borderId="42" xfId="0" applyFont="1" applyBorder="1" applyAlignment="1">
      <alignment horizontal="center"/>
    </xf>
    <xf numFmtId="0" fontId="65" fillId="0" borderId="12" xfId="0" applyFont="1" applyBorder="1" applyAlignment="1">
      <alignment horizontal="center"/>
    </xf>
    <xf numFmtId="0" fontId="97" fillId="25" borderId="0" xfId="0" applyFont="1" applyFill="1" applyAlignment="1">
      <alignment horizontal="center"/>
    </xf>
    <xf numFmtId="0" fontId="93" fillId="25" borderId="0" xfId="0" applyFont="1" applyFill="1" applyAlignment="1">
      <alignment horizontal="center"/>
    </xf>
    <xf numFmtId="0" fontId="2" fillId="0" borderId="1" xfId="3" applyBorder="1" applyAlignment="1">
      <alignment horizontal="center"/>
    </xf>
    <xf numFmtId="0" fontId="2" fillId="0" borderId="1" xfId="3" applyBorder="1" applyAlignment="1">
      <alignment horizontal="center" vertical="center"/>
    </xf>
    <xf numFmtId="0" fontId="2" fillId="0" borderId="3" xfId="3" applyBorder="1" applyAlignment="1">
      <alignment horizontal="center"/>
    </xf>
    <xf numFmtId="0" fontId="2" fillId="0" borderId="84" xfId="3" applyBorder="1" applyAlignment="1">
      <alignment horizontal="center"/>
    </xf>
    <xf numFmtId="0" fontId="2" fillId="0" borderId="13" xfId="3" applyBorder="1" applyAlignment="1">
      <alignment horizontal="center"/>
    </xf>
    <xf numFmtId="0" fontId="2" fillId="26" borderId="1" xfId="3" applyFill="1" applyBorder="1" applyAlignment="1">
      <alignment horizontal="center" vertical="center"/>
    </xf>
    <xf numFmtId="0" fontId="2" fillId="26" borderId="1" xfId="3" applyFill="1" applyBorder="1" applyAlignment="1">
      <alignment horizontal="center" vertical="center" wrapText="1"/>
    </xf>
    <xf numFmtId="0" fontId="95" fillId="25" borderId="40" xfId="3" applyFont="1" applyFill="1" applyBorder="1" applyAlignment="1">
      <alignment horizontal="center" vertical="center"/>
    </xf>
    <xf numFmtId="0" fontId="65" fillId="0" borderId="41" xfId="0" applyFont="1" applyBorder="1" applyAlignment="1">
      <alignment horizontal="center" vertical="center"/>
    </xf>
    <xf numFmtId="0" fontId="65" fillId="0" borderId="42" xfId="0" applyFont="1" applyBorder="1" applyAlignment="1">
      <alignment horizontal="center" vertical="center"/>
    </xf>
    <xf numFmtId="0" fontId="65" fillId="0" borderId="43" xfId="0" applyFont="1" applyBorder="1" applyAlignment="1">
      <alignment horizontal="center" vertical="center"/>
    </xf>
    <xf numFmtId="0" fontId="71" fillId="0" borderId="5" xfId="0" applyFont="1" applyBorder="1" applyAlignment="1">
      <alignment horizontal="center" vertical="center"/>
    </xf>
    <xf numFmtId="0" fontId="71" fillId="0" borderId="11" xfId="0" applyFont="1" applyBorder="1" applyAlignment="1">
      <alignment horizontal="center" vertical="center"/>
    </xf>
    <xf numFmtId="0" fontId="71" fillId="0" borderId="46" xfId="0" applyFont="1" applyBorder="1" applyAlignment="1">
      <alignment horizontal="center" vertical="center"/>
    </xf>
    <xf numFmtId="0" fontId="71" fillId="0" borderId="50" xfId="0" applyFont="1" applyBorder="1" applyAlignment="1">
      <alignment horizontal="center" vertical="center"/>
    </xf>
    <xf numFmtId="0" fontId="71" fillId="0" borderId="33" xfId="0" applyFont="1" applyBorder="1" applyAlignment="1">
      <alignment horizontal="center" vertical="center"/>
    </xf>
    <xf numFmtId="0" fontId="71" fillId="0" borderId="12" xfId="0" applyFont="1" applyBorder="1" applyAlignment="1">
      <alignment horizontal="center" vertical="center"/>
    </xf>
    <xf numFmtId="0" fontId="65" fillId="0" borderId="40" xfId="0" applyFont="1" applyBorder="1" applyAlignment="1">
      <alignment horizontal="center" vertical="center"/>
    </xf>
    <xf numFmtId="0" fontId="65" fillId="0" borderId="0" xfId="0" applyFont="1" applyAlignment="1">
      <alignment horizontal="center" vertical="center"/>
    </xf>
    <xf numFmtId="0" fontId="71" fillId="0" borderId="1" xfId="0" applyFont="1" applyBorder="1" applyAlignment="1">
      <alignment horizontal="center" vertical="center"/>
    </xf>
    <xf numFmtId="0" fontId="71" fillId="0" borderId="3" xfId="0" applyFont="1" applyBorder="1" applyAlignment="1">
      <alignment horizontal="center" vertical="center"/>
    </xf>
    <xf numFmtId="0" fontId="71" fillId="0" borderId="84" xfId="0" applyFont="1" applyBorder="1" applyAlignment="1">
      <alignment horizontal="center" vertical="center"/>
    </xf>
    <xf numFmtId="0" fontId="71" fillId="0" borderId="13" xfId="0" applyFont="1" applyBorder="1" applyAlignment="1">
      <alignment horizontal="center" vertical="center"/>
    </xf>
    <xf numFmtId="0" fontId="65" fillId="0" borderId="74" xfId="0" applyFont="1" applyBorder="1" applyAlignment="1">
      <alignment horizontal="center" vertical="center"/>
    </xf>
    <xf numFmtId="0" fontId="65" fillId="0" borderId="78" xfId="0" applyFont="1" applyBorder="1" applyAlignment="1">
      <alignment horizontal="center" vertical="center"/>
    </xf>
    <xf numFmtId="0" fontId="56" fillId="28" borderId="17" xfId="0" applyFont="1" applyFill="1" applyBorder="1" applyAlignment="1">
      <alignment horizontal="center"/>
    </xf>
    <xf numFmtId="0" fontId="56" fillId="28" borderId="18" xfId="0" applyFont="1" applyFill="1" applyBorder="1" applyAlignment="1">
      <alignment horizontal="center"/>
    </xf>
    <xf numFmtId="0" fontId="56" fillId="28" borderId="19" xfId="0" applyFont="1" applyFill="1" applyBorder="1" applyAlignment="1">
      <alignment horizontal="center"/>
    </xf>
    <xf numFmtId="0" fontId="0" fillId="13" borderId="20" xfId="0" applyFill="1" applyBorder="1" applyAlignment="1">
      <alignment horizontal="center"/>
    </xf>
    <xf numFmtId="0" fontId="0" fillId="13" borderId="1" xfId="0" applyFill="1" applyBorder="1" applyAlignment="1">
      <alignment horizontal="center"/>
    </xf>
    <xf numFmtId="0" fontId="0" fillId="13" borderId="4" xfId="0" applyFill="1" applyBorder="1" applyAlignment="1">
      <alignment horizontal="center"/>
    </xf>
    <xf numFmtId="0" fontId="0" fillId="13" borderId="87" xfId="0" applyFill="1" applyBorder="1" applyAlignment="1">
      <alignment horizontal="center"/>
    </xf>
    <xf numFmtId="0" fontId="0" fillId="13" borderId="56" xfId="0" applyFill="1" applyBorder="1" applyAlignment="1">
      <alignment horizontal="center"/>
    </xf>
    <xf numFmtId="0" fontId="0" fillId="13" borderId="21" xfId="0" applyFill="1" applyBorder="1" applyAlignment="1">
      <alignment horizontal="center"/>
    </xf>
    <xf numFmtId="0" fontId="0" fillId="13" borderId="109" xfId="0" applyFill="1" applyBorder="1" applyAlignment="1">
      <alignment horizontal="center"/>
    </xf>
    <xf numFmtId="0" fontId="0" fillId="13" borderId="110" xfId="0" applyFill="1" applyBorder="1" applyAlignment="1">
      <alignment horizontal="center"/>
    </xf>
    <xf numFmtId="0" fontId="0" fillId="13" borderId="112" xfId="0" applyFill="1" applyBorder="1" applyAlignment="1">
      <alignment horizontal="center"/>
    </xf>
    <xf numFmtId="0" fontId="56" fillId="28" borderId="75" xfId="0" applyFont="1" applyFill="1" applyBorder="1" applyAlignment="1">
      <alignment horizontal="center"/>
    </xf>
    <xf numFmtId="0" fontId="56" fillId="28" borderId="76" xfId="0" applyFont="1" applyFill="1" applyBorder="1" applyAlignment="1">
      <alignment horizontal="center"/>
    </xf>
    <xf numFmtId="0" fontId="56" fillId="28" borderId="77" xfId="0" applyFont="1" applyFill="1" applyBorder="1" applyAlignment="1">
      <alignment horizontal="center"/>
    </xf>
    <xf numFmtId="0" fontId="0" fillId="13" borderId="111" xfId="0" applyFill="1" applyBorder="1" applyAlignment="1">
      <alignment horizontal="center"/>
    </xf>
    <xf numFmtId="0" fontId="0" fillId="13" borderId="117" xfId="0" applyFill="1" applyBorder="1" applyAlignment="1">
      <alignment horizontal="center"/>
    </xf>
    <xf numFmtId="0" fontId="0" fillId="0" borderId="11" xfId="0" applyBorder="1" applyAlignment="1">
      <alignment horizontal="center"/>
    </xf>
    <xf numFmtId="0" fontId="54" fillId="12" borderId="4" xfId="0" applyFont="1" applyFill="1" applyBorder="1" applyAlignment="1">
      <alignment horizontal="center"/>
    </xf>
    <xf numFmtId="0" fontId="54" fillId="11" borderId="75" xfId="0" applyFont="1" applyFill="1" applyBorder="1" applyAlignment="1">
      <alignment horizontal="center"/>
    </xf>
    <xf numFmtId="0" fontId="54" fillId="11" borderId="76" xfId="0" applyFont="1" applyFill="1" applyBorder="1" applyAlignment="1">
      <alignment horizontal="center"/>
    </xf>
    <xf numFmtId="0" fontId="54" fillId="11" borderId="77" xfId="0" applyFont="1" applyFill="1" applyBorder="1" applyAlignment="1">
      <alignment horizontal="center"/>
    </xf>
    <xf numFmtId="0" fontId="54" fillId="16" borderId="75" xfId="0" applyFont="1" applyFill="1" applyBorder="1" applyAlignment="1">
      <alignment horizontal="center"/>
    </xf>
    <xf numFmtId="0" fontId="54" fillId="16" borderId="77" xfId="0" applyFont="1" applyFill="1" applyBorder="1" applyAlignment="1">
      <alignment horizontal="center"/>
    </xf>
    <xf numFmtId="0" fontId="85" fillId="0" borderId="20" xfId="0" applyFont="1" applyBorder="1" applyAlignment="1">
      <alignment horizontal="center" vertical="center"/>
    </xf>
    <xf numFmtId="0" fontId="85" fillId="0" borderId="28" xfId="0" applyFont="1" applyBorder="1" applyAlignment="1">
      <alignment horizontal="center" vertical="center"/>
    </xf>
    <xf numFmtId="0" fontId="54" fillId="13" borderId="0" xfId="0" applyFont="1" applyFill="1" applyAlignment="1">
      <alignment horizontal="center"/>
    </xf>
    <xf numFmtId="0" fontId="71" fillId="0" borderId="47" xfId="0" applyFont="1" applyBorder="1" applyAlignment="1">
      <alignment horizontal="center" vertical="center"/>
    </xf>
    <xf numFmtId="0" fontId="71" fillId="0" borderId="90" xfId="0" applyFont="1" applyBorder="1" applyAlignment="1">
      <alignment horizontal="center" vertical="center"/>
    </xf>
    <xf numFmtId="0" fontId="71" fillId="0" borderId="36" xfId="0" applyFont="1" applyBorder="1" applyAlignment="1">
      <alignment horizontal="center" vertical="center"/>
    </xf>
    <xf numFmtId="0" fontId="71" fillId="0" borderId="73" xfId="0" applyFont="1" applyBorder="1" applyAlignment="1">
      <alignment horizontal="center" vertical="center"/>
    </xf>
    <xf numFmtId="0" fontId="82" fillId="2" borderId="75" xfId="0" quotePrefix="1" applyFont="1" applyFill="1" applyBorder="1" applyAlignment="1">
      <alignment horizontal="right" vertical="center"/>
    </xf>
    <xf numFmtId="0" fontId="82" fillId="2" borderId="55" xfId="0" quotePrefix="1" applyFont="1" applyFill="1" applyBorder="1" applyAlignment="1">
      <alignment horizontal="right" vertical="center"/>
    </xf>
    <xf numFmtId="0" fontId="54" fillId="0" borderId="6" xfId="0" applyFont="1" applyBorder="1" applyAlignment="1">
      <alignment horizontal="center"/>
    </xf>
    <xf numFmtId="0" fontId="54" fillId="0" borderId="7" xfId="0" applyFont="1" applyBorder="1" applyAlignment="1">
      <alignment horizontal="center"/>
    </xf>
    <xf numFmtId="0" fontId="54" fillId="0" borderId="5" xfId="0" applyFont="1" applyBorder="1" applyAlignment="1">
      <alignment horizontal="center"/>
    </xf>
    <xf numFmtId="0" fontId="54" fillId="0" borderId="11" xfId="0" applyFont="1" applyBorder="1" applyAlignment="1">
      <alignment horizontal="center"/>
    </xf>
    <xf numFmtId="0" fontId="54" fillId="0" borderId="12" xfId="0" applyFont="1" applyBorder="1" applyAlignment="1">
      <alignment horizontal="center"/>
    </xf>
    <xf numFmtId="0" fontId="54" fillId="0" borderId="31" xfId="0" applyFont="1" applyBorder="1" applyAlignment="1">
      <alignment horizontal="center"/>
    </xf>
    <xf numFmtId="0" fontId="54" fillId="0" borderId="16" xfId="0" applyFont="1" applyBorder="1" applyAlignment="1">
      <alignment horizontal="center"/>
    </xf>
    <xf numFmtId="0" fontId="54" fillId="0" borderId="83" xfId="0" applyFont="1" applyBorder="1" applyAlignment="1">
      <alignment horizontal="center"/>
    </xf>
    <xf numFmtId="0" fontId="90" fillId="0" borderId="31" xfId="0" applyFont="1" applyBorder="1" applyAlignment="1">
      <alignment horizontal="center" vertical="center"/>
    </xf>
    <xf numFmtId="0" fontId="90" fillId="0" borderId="44" xfId="0" applyFont="1" applyBorder="1" applyAlignment="1">
      <alignment horizontal="center" vertical="center"/>
    </xf>
    <xf numFmtId="0" fontId="92" fillId="29" borderId="41" xfId="14" applyFont="1" applyBorder="1" applyAlignment="1">
      <alignment horizontal="center"/>
    </xf>
    <xf numFmtId="0" fontId="92" fillId="29" borderId="42" xfId="14" applyFont="1" applyBorder="1" applyAlignment="1">
      <alignment horizontal="center"/>
    </xf>
    <xf numFmtId="0" fontId="92" fillId="29" borderId="43" xfId="14" applyFont="1" applyBorder="1" applyAlignment="1">
      <alignment horizontal="center"/>
    </xf>
    <xf numFmtId="0" fontId="89" fillId="36" borderId="5" xfId="0" applyFont="1" applyFill="1" applyBorder="1" applyAlignment="1">
      <alignment horizontal="center" vertical="center"/>
    </xf>
    <xf numFmtId="0" fontId="89" fillId="36" borderId="11" xfId="0" applyFont="1" applyFill="1" applyBorder="1" applyAlignment="1">
      <alignment horizontal="center" vertical="center"/>
    </xf>
    <xf numFmtId="0" fontId="89" fillId="36" borderId="92" xfId="0" applyFont="1" applyFill="1" applyBorder="1" applyAlignment="1">
      <alignment horizontal="center" vertical="center"/>
    </xf>
    <xf numFmtId="0" fontId="54" fillId="38" borderId="5" xfId="0" applyFont="1" applyFill="1" applyBorder="1" applyAlignment="1">
      <alignment horizontal="center"/>
    </xf>
    <xf numFmtId="0" fontId="54" fillId="38" borderId="11" xfId="0" applyFont="1" applyFill="1" applyBorder="1" applyAlignment="1">
      <alignment horizontal="center"/>
    </xf>
    <xf numFmtId="0" fontId="54" fillId="38" borderId="12" xfId="0" applyFont="1" applyFill="1" applyBorder="1" applyAlignment="1">
      <alignment horizontal="center"/>
    </xf>
    <xf numFmtId="43" fontId="54" fillId="0" borderId="20" xfId="1" applyFont="1" applyFill="1" applyBorder="1" applyAlignment="1"/>
    <xf numFmtId="43" fontId="54" fillId="0" borderId="13" xfId="1" applyFont="1" applyFill="1" applyBorder="1" applyAlignment="1"/>
    <xf numFmtId="43" fontId="54" fillId="0" borderId="1" xfId="1" applyFont="1" applyFill="1" applyBorder="1" applyAlignment="1"/>
    <xf numFmtId="43" fontId="54" fillId="0" borderId="21" xfId="1" applyFont="1" applyFill="1" applyBorder="1" applyAlignment="1"/>
    <xf numFmtId="43" fontId="54" fillId="0" borderId="22" xfId="1" applyFont="1" applyFill="1" applyBorder="1" applyAlignment="1"/>
    <xf numFmtId="43" fontId="54" fillId="0" borderId="79" xfId="1" applyFont="1" applyFill="1" applyBorder="1" applyAlignment="1"/>
    <xf numFmtId="43" fontId="54" fillId="0" borderId="23" xfId="1" applyFont="1" applyFill="1" applyBorder="1" applyAlignment="1"/>
    <xf numFmtId="43" fontId="54" fillId="0" borderId="24" xfId="1" applyFont="1" applyFill="1" applyBorder="1" applyAlignment="1"/>
    <xf numFmtId="0" fontId="54" fillId="0" borderId="41" xfId="0" applyFont="1" applyBorder="1" applyAlignment="1">
      <alignment horizontal="center"/>
    </xf>
    <xf numFmtId="0" fontId="54" fillId="0" borderId="42" xfId="0" applyFont="1" applyBorder="1" applyAlignment="1">
      <alignment horizontal="center"/>
    </xf>
    <xf numFmtId="0" fontId="54" fillId="0" borderId="43" xfId="0" applyFont="1" applyBorder="1" applyAlignment="1">
      <alignment horizontal="center"/>
    </xf>
    <xf numFmtId="43" fontId="54" fillId="0" borderId="81" xfId="1" applyFont="1" applyFill="1" applyBorder="1" applyAlignment="1"/>
    <xf numFmtId="43" fontId="54" fillId="0" borderId="82" xfId="1" applyFont="1" applyFill="1" applyBorder="1" applyAlignment="1"/>
    <xf numFmtId="43" fontId="54" fillId="0" borderId="72" xfId="1" applyFont="1" applyFill="1" applyBorder="1" applyAlignment="1"/>
    <xf numFmtId="43" fontId="54" fillId="0" borderId="64" xfId="1" applyFont="1" applyFill="1" applyBorder="1" applyAlignment="1"/>
    <xf numFmtId="0" fontId="54" fillId="45" borderId="5" xfId="0" applyFont="1" applyFill="1" applyBorder="1" applyAlignment="1">
      <alignment horizontal="center" vertical="center"/>
    </xf>
    <xf numFmtId="0" fontId="54" fillId="45" borderId="11" xfId="0" applyFont="1" applyFill="1" applyBorder="1" applyAlignment="1">
      <alignment horizontal="center" vertical="center"/>
    </xf>
    <xf numFmtId="0" fontId="54" fillId="45" borderId="12" xfId="0" applyFont="1" applyFill="1" applyBorder="1" applyAlignment="1">
      <alignment horizontal="center" vertical="center"/>
    </xf>
    <xf numFmtId="0" fontId="54" fillId="46" borderId="5" xfId="0" applyFont="1" applyFill="1" applyBorder="1" applyAlignment="1">
      <alignment horizontal="center" vertical="center"/>
    </xf>
    <xf numFmtId="0" fontId="54" fillId="46" borderId="11" xfId="0" applyFont="1" applyFill="1" applyBorder="1" applyAlignment="1">
      <alignment horizontal="center" vertical="center"/>
    </xf>
    <xf numFmtId="0" fontId="54" fillId="46" borderId="12" xfId="0" applyFont="1" applyFill="1" applyBorder="1" applyAlignment="1">
      <alignment horizontal="center" vertical="center"/>
    </xf>
    <xf numFmtId="0" fontId="54" fillId="46" borderId="5" xfId="0" applyFont="1" applyFill="1" applyBorder="1" applyAlignment="1">
      <alignment horizontal="center" vertical="center" wrapText="1"/>
    </xf>
    <xf numFmtId="0" fontId="54" fillId="46" borderId="11" xfId="0" applyFont="1" applyFill="1" applyBorder="1" applyAlignment="1">
      <alignment horizontal="center" vertical="center" wrapText="1"/>
    </xf>
    <xf numFmtId="0" fontId="54" fillId="46" borderId="12" xfId="0" applyFont="1" applyFill="1" applyBorder="1" applyAlignment="1">
      <alignment horizontal="center" vertical="center" wrapText="1"/>
    </xf>
    <xf numFmtId="0" fontId="54" fillId="50" borderId="5" xfId="0" applyFont="1" applyFill="1" applyBorder="1" applyAlignment="1">
      <alignment horizontal="center" vertical="center"/>
    </xf>
    <xf numFmtId="0" fontId="54" fillId="50" borderId="11" xfId="0" applyFont="1" applyFill="1" applyBorder="1" applyAlignment="1">
      <alignment horizontal="center" vertical="center"/>
    </xf>
    <xf numFmtId="0" fontId="54" fillId="50" borderId="42" xfId="0" applyFont="1" applyFill="1" applyBorder="1" applyAlignment="1">
      <alignment horizontal="center" vertical="center"/>
    </xf>
    <xf numFmtId="0" fontId="54" fillId="50" borderId="12" xfId="0" applyFont="1" applyFill="1" applyBorder="1" applyAlignment="1">
      <alignment horizontal="center" vertical="center"/>
    </xf>
    <xf numFmtId="0" fontId="54" fillId="11" borderId="5" xfId="0" applyFont="1" applyFill="1" applyBorder="1" applyAlignment="1">
      <alignment horizontal="center" vertical="center"/>
    </xf>
    <xf numFmtId="0" fontId="54" fillId="11" borderId="11" xfId="0" applyFont="1" applyFill="1" applyBorder="1" applyAlignment="1">
      <alignment horizontal="center" vertical="center"/>
    </xf>
    <xf numFmtId="0" fontId="54" fillId="11" borderId="12" xfId="0" applyFont="1" applyFill="1" applyBorder="1" applyAlignment="1">
      <alignment horizontal="center" vertical="center"/>
    </xf>
    <xf numFmtId="0" fontId="54" fillId="11" borderId="75" xfId="0" applyFont="1" applyFill="1" applyBorder="1" applyAlignment="1">
      <alignment horizontal="center" vertical="center" wrapText="1"/>
    </xf>
    <xf numFmtId="0" fontId="54" fillId="11" borderId="93" xfId="0" applyFont="1" applyFill="1" applyBorder="1" applyAlignment="1">
      <alignment horizontal="center" vertical="center" wrapText="1"/>
    </xf>
    <xf numFmtId="0" fontId="54" fillId="11" borderId="76" xfId="0" applyFont="1" applyFill="1" applyBorder="1" applyAlignment="1">
      <alignment horizontal="center" vertical="center" wrapText="1"/>
    </xf>
    <xf numFmtId="0" fontId="54" fillId="11" borderId="77" xfId="0" applyFont="1" applyFill="1" applyBorder="1" applyAlignment="1">
      <alignment horizontal="center" vertical="center" wrapText="1"/>
    </xf>
    <xf numFmtId="43" fontId="54" fillId="0" borderId="17" xfId="1" applyFont="1" applyFill="1" applyBorder="1" applyAlignment="1"/>
    <xf numFmtId="43" fontId="54" fillId="0" borderId="49" xfId="1" applyFont="1" applyFill="1" applyBorder="1" applyAlignment="1"/>
    <xf numFmtId="43" fontId="54" fillId="0" borderId="18" xfId="1" applyFont="1" applyFill="1" applyBorder="1" applyAlignment="1"/>
    <xf numFmtId="43" fontId="54" fillId="0" borderId="19" xfId="1" applyFont="1" applyFill="1" applyBorder="1" applyAlignment="1"/>
    <xf numFmtId="0" fontId="56" fillId="25" borderId="0" xfId="0" applyFont="1" applyFill="1" applyAlignment="1">
      <alignment horizontal="center" vertical="center"/>
    </xf>
    <xf numFmtId="0" fontId="97" fillId="13" borderId="0" xfId="0" applyFont="1" applyFill="1" applyAlignment="1">
      <alignment horizontal="center"/>
    </xf>
    <xf numFmtId="0" fontId="105" fillId="0" borderId="2" xfId="0" applyFont="1" applyBorder="1" applyAlignment="1">
      <alignment horizontal="center"/>
    </xf>
    <xf numFmtId="0" fontId="105" fillId="0" borderId="32" xfId="0" applyFont="1" applyBorder="1" applyAlignment="1">
      <alignment horizontal="center" vertical="center"/>
    </xf>
    <xf numFmtId="0" fontId="105" fillId="0" borderId="33" xfId="0" applyFont="1" applyBorder="1" applyAlignment="1">
      <alignment horizontal="center" vertical="center"/>
    </xf>
    <xf numFmtId="0" fontId="105" fillId="0" borderId="34" xfId="0" applyFont="1" applyBorder="1" applyAlignment="1">
      <alignment horizontal="center" vertical="center"/>
    </xf>
    <xf numFmtId="0" fontId="100" fillId="0" borderId="42" xfId="0" applyFont="1" applyBorder="1" applyAlignment="1">
      <alignment horizontal="center"/>
    </xf>
    <xf numFmtId="0" fontId="100" fillId="0" borderId="0" xfId="0" applyFont="1" applyAlignment="1">
      <alignment horizontal="left"/>
    </xf>
    <xf numFmtId="17" fontId="65" fillId="18" borderId="5" xfId="0" applyNumberFormat="1" applyFont="1" applyFill="1" applyBorder="1" applyAlignment="1">
      <alignment horizontal="center"/>
    </xf>
    <xf numFmtId="0" fontId="65" fillId="18" borderId="11" xfId="0" applyFont="1" applyFill="1" applyBorder="1" applyAlignment="1">
      <alignment horizontal="center"/>
    </xf>
    <xf numFmtId="0" fontId="65" fillId="18" borderId="12" xfId="0" applyFont="1" applyFill="1" applyBorder="1" applyAlignment="1">
      <alignment horizontal="center"/>
    </xf>
    <xf numFmtId="2" fontId="54" fillId="0" borderId="5" xfId="0" applyNumberFormat="1" applyFont="1" applyBorder="1" applyAlignment="1">
      <alignment horizontal="right"/>
    </xf>
    <xf numFmtId="2" fontId="54" fillId="0" borderId="11" xfId="0" applyNumberFormat="1" applyFont="1" applyBorder="1" applyAlignment="1">
      <alignment horizontal="right"/>
    </xf>
    <xf numFmtId="2" fontId="54" fillId="0" borderId="12" xfId="0" applyNumberFormat="1" applyFont="1" applyBorder="1" applyAlignment="1">
      <alignment horizontal="right"/>
    </xf>
    <xf numFmtId="0" fontId="54" fillId="0" borderId="32" xfId="0" applyFont="1" applyBorder="1" applyAlignment="1">
      <alignment horizontal="right"/>
    </xf>
    <xf numFmtId="0" fontId="54" fillId="0" borderId="50" xfId="0" applyFont="1" applyBorder="1" applyAlignment="1">
      <alignment horizontal="right"/>
    </xf>
    <xf numFmtId="0" fontId="54" fillId="12" borderId="27" xfId="0" applyFont="1" applyFill="1" applyBorder="1" applyAlignment="1">
      <alignment horizontal="center" vertical="center" wrapText="1"/>
    </xf>
    <xf numFmtId="0" fontId="54" fillId="12" borderId="14" xfId="0" applyFont="1" applyFill="1" applyBorder="1" applyAlignment="1">
      <alignment horizontal="center" vertical="center" wrapText="1"/>
    </xf>
    <xf numFmtId="0" fontId="65" fillId="11" borderId="41" xfId="0" applyFont="1" applyFill="1" applyBorder="1" applyAlignment="1">
      <alignment horizontal="center" vertical="center"/>
    </xf>
    <xf numFmtId="0" fontId="65" fillId="11" borderId="42" xfId="0" applyFont="1" applyFill="1" applyBorder="1" applyAlignment="1">
      <alignment horizontal="center" vertical="center"/>
    </xf>
    <xf numFmtId="0" fontId="65" fillId="11" borderId="43" xfId="0" applyFont="1" applyFill="1" applyBorder="1" applyAlignment="1">
      <alignment horizontal="center" vertical="center"/>
    </xf>
    <xf numFmtId="0" fontId="65" fillId="11" borderId="31" xfId="0" applyFont="1" applyFill="1" applyBorder="1" applyAlignment="1">
      <alignment horizontal="center" vertical="center"/>
    </xf>
    <xf numFmtId="0" fontId="65" fillId="11" borderId="16" xfId="0" applyFont="1" applyFill="1" applyBorder="1" applyAlignment="1">
      <alignment horizontal="center" vertical="center"/>
    </xf>
    <xf numFmtId="0" fontId="65" fillId="11" borderId="44" xfId="0" applyFont="1" applyFill="1" applyBorder="1" applyAlignment="1">
      <alignment horizontal="center" vertical="center"/>
    </xf>
  </cellXfs>
  <cellStyles count="21">
    <cellStyle name="Accent2" xfId="17" builtinId="33"/>
    <cellStyle name="Check Cell" xfId="16" builtinId="23"/>
    <cellStyle name="Comma" xfId="1" builtinId="3"/>
    <cellStyle name="Comma 2" xfId="4" xr:uid="{576F968F-6136-46CD-8405-7C1A240F4B9A}"/>
    <cellStyle name="Comma 3" xfId="6" xr:uid="{C4C18D46-CA17-4B25-8B6D-F2A08827F7B7}"/>
    <cellStyle name="Comma 3 2" xfId="8" xr:uid="{D16A61D9-1BDC-4782-A0DB-F8B22AD9B0A6}"/>
    <cellStyle name="Comma 4" xfId="11" xr:uid="{43D9054C-3970-4551-8A7C-7ABE6194B615}"/>
    <cellStyle name="Comma 5" xfId="13" xr:uid="{B59BC89D-F571-42A3-9181-B01B58351A41}"/>
    <cellStyle name="Currency" xfId="12" builtinId="4"/>
    <cellStyle name="Good" xfId="14" builtinId="26"/>
    <cellStyle name="Hyperlink" xfId="5" builtinId="8"/>
    <cellStyle name="Linked Cell" xfId="15" builtinId="24"/>
    <cellStyle name="Normal" xfId="0" builtinId="0"/>
    <cellStyle name="Normal 2" xfId="3" xr:uid="{089CC6AB-7B0A-4B64-80A7-CC1FFAAAD997}"/>
    <cellStyle name="Normal 3" xfId="10" xr:uid="{BD6CBB56-0DF1-4DBB-A2E9-F08243F2CA55}"/>
    <cellStyle name="Normal 4" xfId="18" xr:uid="{D8CCEB43-CB33-4427-B8E5-281C18010191}"/>
    <cellStyle name="Normal 5" xfId="9" xr:uid="{1EF9E48B-45E9-48A1-BD08-211B22D7A731}"/>
    <cellStyle name="Normal 5 2" xfId="7" xr:uid="{0943476F-0FD6-4EEC-A8D0-16F3D63CB85E}"/>
    <cellStyle name="Normale_Ahlstrom Expansion - Identity card" xfId="20" xr:uid="{1FFBA6B8-5E17-45C8-A162-AE383AD4FBA0}"/>
    <cellStyle name="Normale_traffic light" xfId="19" xr:uid="{62389AD4-A2CF-482E-846D-C7E0685B27E7}"/>
    <cellStyle name="Percent" xfId="2" builtinId="5"/>
  </cellStyles>
  <dxfs count="103">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theme="0"/>
      </font>
    </dxf>
    <dxf>
      <font>
        <color theme="0"/>
      </font>
    </dxf>
    <dxf>
      <font>
        <condense val="0"/>
        <extend val="0"/>
        <color indexed="13"/>
      </font>
      <fill>
        <patternFill>
          <bgColor indexed="13"/>
        </patternFill>
      </fill>
    </dxf>
    <dxf>
      <font>
        <condense val="0"/>
        <extend val="0"/>
        <color indexed="17"/>
      </font>
      <fill>
        <patternFill>
          <bgColor indexed="17"/>
        </patternFill>
      </fill>
    </dxf>
    <dxf>
      <font>
        <condense val="0"/>
        <extend val="0"/>
        <color indexed="10"/>
      </font>
      <fill>
        <patternFill>
          <bgColor indexed="10"/>
        </patternFill>
      </fill>
    </dxf>
    <dxf>
      <font>
        <condense val="0"/>
        <extend val="0"/>
        <color indexed="13"/>
      </font>
      <fill>
        <patternFill>
          <bgColor indexed="13"/>
        </patternFill>
      </fill>
    </dxf>
    <dxf>
      <font>
        <condense val="0"/>
        <extend val="0"/>
        <color indexed="17"/>
      </font>
      <fill>
        <patternFill>
          <bgColor indexed="17"/>
        </patternFill>
      </fill>
    </dxf>
    <dxf>
      <font>
        <condense val="0"/>
        <extend val="0"/>
        <color indexed="10"/>
      </font>
      <fill>
        <patternFill>
          <bgColor indexed="10"/>
        </patternFill>
      </fill>
    </dxf>
    <dxf>
      <font>
        <condense val="0"/>
        <extend val="0"/>
        <color indexed="13"/>
      </font>
      <fill>
        <patternFill>
          <bgColor indexed="13"/>
        </patternFill>
      </fill>
    </dxf>
    <dxf>
      <font>
        <condense val="0"/>
        <extend val="0"/>
        <color indexed="17"/>
      </font>
      <fill>
        <patternFill>
          <bgColor indexed="17"/>
        </patternFill>
      </fill>
    </dxf>
    <dxf>
      <font>
        <condense val="0"/>
        <extend val="0"/>
        <color indexed="10"/>
      </font>
      <fill>
        <patternFill>
          <bgColor indexed="10"/>
        </patternFill>
      </fill>
    </dxf>
    <dxf>
      <font>
        <condense val="0"/>
        <extend val="0"/>
        <color indexed="13"/>
      </font>
      <fill>
        <patternFill>
          <bgColor indexed="13"/>
        </patternFill>
      </fill>
    </dxf>
    <dxf>
      <font>
        <condense val="0"/>
        <extend val="0"/>
        <color indexed="17"/>
      </font>
      <fill>
        <patternFill>
          <bgColor indexed="17"/>
        </patternFill>
      </fill>
    </dxf>
    <dxf>
      <font>
        <condense val="0"/>
        <extend val="0"/>
        <color indexed="10"/>
      </font>
      <fill>
        <patternFill>
          <bgColor indexed="10"/>
        </patternFill>
      </fill>
    </dxf>
    <dxf>
      <font>
        <condense val="0"/>
        <extend val="0"/>
        <color indexed="13"/>
      </font>
      <fill>
        <patternFill>
          <bgColor indexed="13"/>
        </patternFill>
      </fill>
    </dxf>
    <dxf>
      <font>
        <condense val="0"/>
        <extend val="0"/>
        <color indexed="17"/>
      </font>
      <fill>
        <patternFill>
          <bgColor indexed="17"/>
        </patternFill>
      </fill>
    </dxf>
    <dxf>
      <font>
        <condense val="0"/>
        <extend val="0"/>
        <color indexed="10"/>
      </font>
      <fill>
        <patternFill>
          <bgColor indexed="10"/>
        </patternFill>
      </fill>
    </dxf>
    <dxf>
      <font>
        <condense val="0"/>
        <extend val="0"/>
        <color indexed="13"/>
      </font>
      <fill>
        <patternFill>
          <bgColor indexed="13"/>
        </patternFill>
      </fill>
    </dxf>
    <dxf>
      <font>
        <condense val="0"/>
        <extend val="0"/>
        <color indexed="17"/>
      </font>
      <fill>
        <patternFill>
          <bgColor indexed="17"/>
        </patternFill>
      </fill>
    </dxf>
    <dxf>
      <font>
        <condense val="0"/>
        <extend val="0"/>
        <color indexed="10"/>
      </font>
      <fill>
        <patternFill>
          <bgColor indexed="10"/>
        </patternFill>
      </fill>
    </dxf>
    <dxf>
      <font>
        <condense val="0"/>
        <extend val="0"/>
        <color indexed="13"/>
      </font>
      <fill>
        <patternFill>
          <bgColor indexed="13"/>
        </patternFill>
      </fill>
    </dxf>
    <dxf>
      <font>
        <condense val="0"/>
        <extend val="0"/>
        <color indexed="17"/>
      </font>
      <fill>
        <patternFill>
          <bgColor indexed="17"/>
        </patternFill>
      </fill>
    </dxf>
    <dxf>
      <font>
        <condense val="0"/>
        <extend val="0"/>
        <color indexed="10"/>
      </font>
      <fill>
        <patternFill>
          <bgColor indexed="10"/>
        </patternFill>
      </fill>
    </dxf>
    <dxf>
      <font>
        <condense val="0"/>
        <extend val="0"/>
        <color indexed="13"/>
      </font>
      <fill>
        <patternFill>
          <bgColor indexed="13"/>
        </patternFill>
      </fill>
    </dxf>
    <dxf>
      <font>
        <condense val="0"/>
        <extend val="0"/>
        <color indexed="17"/>
      </font>
      <fill>
        <patternFill>
          <bgColor indexed="17"/>
        </patternFill>
      </fill>
    </dxf>
    <dxf>
      <font>
        <condense val="0"/>
        <extend val="0"/>
        <color indexed="10"/>
      </font>
      <fill>
        <patternFill>
          <bgColor indexed="10"/>
        </patternFill>
      </fill>
    </dxf>
    <dxf>
      <font>
        <condense val="0"/>
        <extend val="0"/>
        <color indexed="13"/>
      </font>
      <fill>
        <patternFill>
          <bgColor indexed="13"/>
        </patternFill>
      </fill>
    </dxf>
    <dxf>
      <font>
        <condense val="0"/>
        <extend val="0"/>
        <color indexed="17"/>
      </font>
      <fill>
        <patternFill>
          <bgColor indexed="17"/>
        </patternFill>
      </fill>
    </dxf>
    <dxf>
      <font>
        <condense val="0"/>
        <extend val="0"/>
        <color indexed="10"/>
      </font>
      <fill>
        <patternFill>
          <bgColor indexed="10"/>
        </patternFill>
      </fill>
    </dxf>
    <dxf>
      <font>
        <condense val="0"/>
        <extend val="0"/>
        <color indexed="13"/>
      </font>
      <fill>
        <patternFill>
          <bgColor indexed="13"/>
        </patternFill>
      </fill>
    </dxf>
    <dxf>
      <font>
        <condense val="0"/>
        <extend val="0"/>
        <color indexed="17"/>
      </font>
      <fill>
        <patternFill>
          <bgColor indexed="17"/>
        </patternFill>
      </fill>
    </dxf>
    <dxf>
      <font>
        <condense val="0"/>
        <extend val="0"/>
        <color indexed="10"/>
      </font>
      <fill>
        <patternFill>
          <bgColor indexed="10"/>
        </patternFill>
      </fill>
    </dxf>
    <dxf>
      <font>
        <condense val="0"/>
        <extend val="0"/>
        <color indexed="13"/>
      </font>
      <fill>
        <patternFill>
          <bgColor indexed="13"/>
        </patternFill>
      </fill>
    </dxf>
    <dxf>
      <font>
        <condense val="0"/>
        <extend val="0"/>
        <color indexed="17"/>
      </font>
      <fill>
        <patternFill>
          <bgColor indexed="17"/>
        </patternFill>
      </fill>
    </dxf>
    <dxf>
      <font>
        <condense val="0"/>
        <extend val="0"/>
        <color indexed="10"/>
      </font>
      <fill>
        <patternFill>
          <bgColor indexed="10"/>
        </patternFill>
      </fill>
    </dxf>
    <dxf>
      <font>
        <condense val="0"/>
        <extend val="0"/>
        <color indexed="10"/>
      </font>
      <fill>
        <patternFill>
          <bgColor indexed="10"/>
        </patternFill>
      </fill>
    </dxf>
    <dxf>
      <font>
        <condense val="0"/>
        <extend val="0"/>
        <color indexed="17"/>
      </font>
      <fill>
        <patternFill>
          <bgColor indexed="17"/>
        </patternFill>
      </fill>
    </dxf>
    <dxf>
      <font>
        <condense val="0"/>
        <extend val="0"/>
        <color indexed="13"/>
      </font>
      <fill>
        <patternFill>
          <bgColor indexed="13"/>
        </patternFill>
      </fill>
    </dxf>
    <dxf>
      <font>
        <condense val="0"/>
        <extend val="0"/>
        <color indexed="13"/>
      </font>
      <fill>
        <patternFill>
          <bgColor indexed="13"/>
        </patternFill>
      </fill>
    </dxf>
    <dxf>
      <font>
        <condense val="0"/>
        <extend val="0"/>
        <color indexed="17"/>
      </font>
      <fill>
        <patternFill>
          <bgColor indexed="17"/>
        </patternFill>
      </fill>
    </dxf>
    <dxf>
      <font>
        <condense val="0"/>
        <extend val="0"/>
        <color indexed="10"/>
      </font>
      <fill>
        <patternFill>
          <bgColor indexed="10"/>
        </patternFill>
      </fill>
    </dxf>
    <dxf>
      <font>
        <condense val="0"/>
        <extend val="0"/>
        <color indexed="13"/>
      </font>
      <fill>
        <patternFill>
          <bgColor indexed="13"/>
        </patternFill>
      </fill>
    </dxf>
    <dxf>
      <font>
        <condense val="0"/>
        <extend val="0"/>
        <color indexed="17"/>
      </font>
      <fill>
        <patternFill>
          <bgColor indexed="17"/>
        </patternFill>
      </fill>
    </dxf>
    <dxf>
      <font>
        <condense val="0"/>
        <extend val="0"/>
        <color indexed="10"/>
      </font>
      <fill>
        <patternFill>
          <bgColor indexed="10"/>
        </patternFill>
      </fill>
    </dxf>
    <dxf>
      <font>
        <condense val="0"/>
        <extend val="0"/>
        <color indexed="13"/>
      </font>
      <fill>
        <patternFill>
          <bgColor indexed="13"/>
        </patternFill>
      </fill>
    </dxf>
    <dxf>
      <font>
        <condense val="0"/>
        <extend val="0"/>
        <color indexed="17"/>
      </font>
      <fill>
        <patternFill>
          <bgColor indexed="17"/>
        </patternFill>
      </fill>
    </dxf>
    <dxf>
      <font>
        <condense val="0"/>
        <extend val="0"/>
        <color indexed="10"/>
      </font>
      <fill>
        <patternFill>
          <bgColor indexed="10"/>
        </patternFill>
      </fill>
    </dxf>
    <dxf>
      <font>
        <condense val="0"/>
        <extend val="0"/>
        <color indexed="13"/>
      </font>
      <fill>
        <patternFill>
          <bgColor indexed="13"/>
        </patternFill>
      </fill>
    </dxf>
    <dxf>
      <font>
        <condense val="0"/>
        <extend val="0"/>
        <color indexed="17"/>
      </font>
      <fill>
        <patternFill>
          <bgColor indexed="17"/>
        </patternFill>
      </fill>
    </dxf>
    <dxf>
      <font>
        <condense val="0"/>
        <extend val="0"/>
        <color indexed="10"/>
      </font>
      <fill>
        <patternFill>
          <bgColor indexed="10"/>
        </patternFill>
      </fill>
    </dxf>
    <dxf>
      <font>
        <condense val="0"/>
        <extend val="0"/>
        <color indexed="13"/>
      </font>
      <fill>
        <patternFill>
          <bgColor indexed="13"/>
        </patternFill>
      </fill>
    </dxf>
    <dxf>
      <font>
        <condense val="0"/>
        <extend val="0"/>
        <color indexed="17"/>
      </font>
      <fill>
        <patternFill>
          <bgColor indexed="17"/>
        </patternFill>
      </fill>
    </dxf>
    <dxf>
      <font>
        <condense val="0"/>
        <extend val="0"/>
        <color indexed="10"/>
      </font>
      <fill>
        <patternFill>
          <bgColor indexed="10"/>
        </patternFill>
      </fill>
    </dxf>
    <dxf>
      <font>
        <condense val="0"/>
        <extend val="0"/>
        <color indexed="13"/>
      </font>
      <fill>
        <patternFill>
          <bgColor indexed="13"/>
        </patternFill>
      </fill>
    </dxf>
    <dxf>
      <font>
        <condense val="0"/>
        <extend val="0"/>
        <color indexed="17"/>
      </font>
      <fill>
        <patternFill>
          <bgColor indexed="17"/>
        </patternFill>
      </fill>
    </dxf>
    <dxf>
      <font>
        <condense val="0"/>
        <extend val="0"/>
        <color indexed="10"/>
      </font>
      <fill>
        <patternFill>
          <bgColor indexed="10"/>
        </patternFill>
      </fill>
    </dxf>
    <dxf>
      <font>
        <condense val="0"/>
        <extend val="0"/>
        <color indexed="13"/>
      </font>
      <fill>
        <patternFill>
          <bgColor indexed="13"/>
        </patternFill>
      </fill>
    </dxf>
    <dxf>
      <font>
        <condense val="0"/>
        <extend val="0"/>
        <color indexed="17"/>
      </font>
      <fill>
        <patternFill>
          <bgColor indexed="17"/>
        </patternFill>
      </fill>
    </dxf>
    <dxf>
      <font>
        <condense val="0"/>
        <extend val="0"/>
        <color indexed="10"/>
      </font>
      <fill>
        <patternFill>
          <bgColor indexed="10"/>
        </patternFill>
      </fill>
    </dxf>
    <dxf>
      <font>
        <condense val="0"/>
        <extend val="0"/>
        <color indexed="13"/>
      </font>
      <fill>
        <patternFill>
          <bgColor indexed="13"/>
        </patternFill>
      </fill>
    </dxf>
    <dxf>
      <font>
        <condense val="0"/>
        <extend val="0"/>
        <color indexed="17"/>
      </font>
      <fill>
        <patternFill>
          <bgColor indexed="17"/>
        </patternFill>
      </fill>
    </dxf>
    <dxf>
      <font>
        <condense val="0"/>
        <extend val="0"/>
        <color indexed="10"/>
      </font>
      <fill>
        <patternFill>
          <bgColor indexed="10"/>
        </patternFill>
      </fill>
    </dxf>
    <dxf>
      <font>
        <condense val="0"/>
        <extend val="0"/>
        <color indexed="13"/>
      </font>
      <fill>
        <patternFill>
          <bgColor indexed="13"/>
        </patternFill>
      </fill>
    </dxf>
    <dxf>
      <font>
        <condense val="0"/>
        <extend val="0"/>
        <color indexed="17"/>
      </font>
      <fill>
        <patternFill>
          <bgColor indexed="17"/>
        </patternFill>
      </fill>
    </dxf>
    <dxf>
      <font>
        <condense val="0"/>
        <extend val="0"/>
        <color indexed="10"/>
      </font>
      <fill>
        <patternFill>
          <bgColor indexed="10"/>
        </patternFill>
      </fill>
    </dxf>
    <dxf>
      <font>
        <condense val="0"/>
        <extend val="0"/>
        <color indexed="13"/>
      </font>
      <fill>
        <patternFill>
          <bgColor indexed="13"/>
        </patternFill>
      </fill>
    </dxf>
    <dxf>
      <font>
        <condense val="0"/>
        <extend val="0"/>
        <color indexed="17"/>
      </font>
      <fill>
        <patternFill>
          <bgColor indexed="17"/>
        </patternFill>
      </fill>
    </dxf>
    <dxf>
      <font>
        <condense val="0"/>
        <extend val="0"/>
        <color indexed="10"/>
      </font>
      <fill>
        <patternFill>
          <bgColor indexed="10"/>
        </patternFill>
      </fill>
    </dxf>
    <dxf>
      <font>
        <condense val="0"/>
        <extend val="0"/>
        <color indexed="13"/>
      </font>
      <fill>
        <patternFill>
          <bgColor indexed="13"/>
        </patternFill>
      </fill>
    </dxf>
    <dxf>
      <font>
        <condense val="0"/>
        <extend val="0"/>
        <color indexed="17"/>
      </font>
      <fill>
        <patternFill>
          <bgColor indexed="17"/>
        </patternFill>
      </fill>
    </dxf>
    <dxf>
      <font>
        <condense val="0"/>
        <extend val="0"/>
        <color indexed="10"/>
      </font>
      <fill>
        <patternFill>
          <bgColor indexed="10"/>
        </patternFill>
      </fill>
    </dxf>
    <dxf>
      <font>
        <sz val="11"/>
        <color theme="0"/>
      </font>
      <border>
        <vertical/>
        <horizontal/>
      </border>
    </dxf>
    <dxf>
      <font>
        <color theme="1"/>
      </font>
      <fill>
        <patternFill>
          <bgColor theme="8" tint="-0.499984740745262"/>
        </patternFill>
      </fill>
      <border>
        <left style="thin">
          <color theme="8"/>
        </left>
        <right style="thin">
          <color theme="8"/>
        </right>
        <top style="thin">
          <color theme="8"/>
        </top>
        <bottom style="thin">
          <color theme="8"/>
        </bottom>
        <vertical/>
        <horizontal/>
      </border>
    </dxf>
    <dxf>
      <font>
        <color theme="0"/>
      </font>
      <border>
        <bottom style="thin">
          <color theme="4"/>
        </bottom>
        <vertical/>
        <horizontal/>
      </border>
    </dxf>
    <dxf>
      <font>
        <color theme="1"/>
      </font>
      <fill>
        <patternFill>
          <bgColor theme="8" tint="-0.499984740745262"/>
        </patternFill>
      </fill>
      <border diagonalUp="0" diagonalDown="0">
        <left/>
        <right/>
        <top/>
        <bottom/>
        <vertical/>
        <horizontal/>
      </border>
    </dxf>
  </dxfs>
  <tableStyles count="2" defaultTableStyle="TableStyleMedium2" defaultPivotStyle="PivotStyleLight16">
    <tableStyle name="Raihan" pivot="0" table="0" count="2" xr9:uid="{6051D721-7963-4AA9-A2B4-AC40418981DE}">
      <tableStyleElement type="wholeTable" dxfId="102"/>
      <tableStyleElement type="headerRow" dxfId="101"/>
    </tableStyle>
    <tableStyle name="TimeSlicerStyleDark5 2" pivot="0" table="0" count="2" xr9:uid="{96A96796-B576-46C5-BE40-E6DB200F7D86}">
      <tableStyleElement type="wholeTable" dxfId="100"/>
      <tableStyleElement type="headerRow" dxfId="99"/>
    </tableStyle>
  </tableStyles>
  <colors>
    <mruColors>
      <color rgb="FFF8D4BE"/>
      <color rgb="FFFDF3ED"/>
      <color rgb="FFFFFFCC"/>
      <color rgb="FF66FFFF"/>
      <color rgb="FFFFFF66"/>
      <color rgb="FFFFFF99"/>
      <color rgb="FFFFFFFF"/>
      <color rgb="FFFFE9AB"/>
      <color rgb="FF66FF66"/>
      <color rgb="FFD600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haredStrings" Target="sharedStrings.xml"/><Relationship Id="rId55"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56"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sheetMetadata" Target="metadata.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800" b="0" i="0" u="none" strike="noStrike" kern="1200" cap="none" spc="50" normalizeH="0" baseline="0">
                <a:solidFill>
                  <a:srgbClr val="C00000"/>
                </a:solidFill>
                <a:latin typeface="+mj-lt"/>
                <a:ea typeface="+mj-ea"/>
                <a:cs typeface="+mj-cs"/>
              </a:defRPr>
            </a:pPr>
            <a:r>
              <a:rPr lang="en-US" sz="800" b="0" i="0" u="none" strike="noStrike" kern="1200" cap="none" spc="50" normalizeH="0" baseline="0">
                <a:solidFill>
                  <a:srgbClr val="C00000"/>
                </a:solidFill>
                <a:latin typeface="+mj-lt"/>
                <a:ea typeface="+mj-ea"/>
                <a:cs typeface="+mj-cs"/>
              </a:rPr>
              <a:t>Electricity Consumption (KWH/DP)</a:t>
            </a:r>
          </a:p>
        </c:rich>
      </c:tx>
      <c:overlay val="0"/>
      <c:spPr>
        <a:solidFill>
          <a:srgbClr val="FFFFCC"/>
        </a:solidFill>
        <a:ln>
          <a:noFill/>
        </a:ln>
        <a:effectLst/>
      </c:spPr>
      <c:txPr>
        <a:bodyPr rot="0" spcFirstLastPara="1" vertOverflow="ellipsis" vert="horz" wrap="square" anchor="ctr" anchorCtr="1"/>
        <a:lstStyle/>
        <a:p>
          <a:pPr algn="ctr" rtl="0">
            <a:defRPr lang="en-US" sz="800" b="0" i="0" u="none" strike="noStrike" kern="1200" cap="none" spc="50" normalizeH="0" baseline="0">
              <a:solidFill>
                <a:srgbClr val="C00000"/>
              </a:solidFill>
              <a:latin typeface="+mj-lt"/>
              <a:ea typeface="+mj-ea"/>
              <a:cs typeface="+mj-cs"/>
            </a:defRPr>
          </a:pPr>
          <a:endParaRPr lang="en-US"/>
        </a:p>
      </c:txPr>
    </c:title>
    <c:autoTitleDeleted val="0"/>
    <c:plotArea>
      <c:layout/>
      <c:barChart>
        <c:barDir val="col"/>
        <c:grouping val="clustered"/>
        <c:varyColors val="0"/>
        <c:ser>
          <c:idx val="0"/>
          <c:order val="0"/>
          <c:tx>
            <c:strRef>
              <c:f>'Dashboard Data'!$C$7</c:f>
              <c:strCache>
                <c:ptCount val="1"/>
                <c:pt idx="0">
                  <c:v> Baseline </c:v>
                </c:pt>
              </c:strCache>
            </c:strRef>
          </c:tx>
          <c:spPr>
            <a:solidFill>
              <a:srgbClr val="CB003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'Dashboard Data'!$B$8:$B$11</c:f>
              <c:numCache>
                <c:formatCode>General</c:formatCode>
                <c:ptCount val="4"/>
                <c:pt idx="0">
                  <c:v>2023</c:v>
                </c:pt>
                <c:pt idx="1">
                  <c:v>2024</c:v>
                </c:pt>
                <c:pt idx="2">
                  <c:v>2025</c:v>
                </c:pt>
                <c:pt idx="3">
                  <c:v>2026</c:v>
                </c:pt>
              </c:numCache>
            </c:numRef>
          </c:cat>
          <c:val>
            <c:numRef>
              <c:f>'Dashboard Data'!$C$8:$C$11</c:f>
              <c:numCache>
                <c:formatCode>General</c:formatCode>
                <c:ptCount val="4"/>
                <c:pt idx="0" formatCode="_(* #,##0.00_);_(* \(#,##0.00\);_(* &quot;-&quot;??_);_(@_)">
                  <c:v>1.608672914196309</c:v>
                </c:pt>
              </c:numCache>
            </c:numRef>
          </c:val>
          <c:extLst>
            <c:ext xmlns:c16="http://schemas.microsoft.com/office/drawing/2014/chart" uri="{C3380CC4-5D6E-409C-BE32-E72D297353CC}">
              <c16:uniqueId val="{00000000-7EFD-4983-9CE1-41A0EA3E74E0}"/>
            </c:ext>
          </c:extLst>
        </c:ser>
        <c:ser>
          <c:idx val="1"/>
          <c:order val="1"/>
          <c:tx>
            <c:strRef>
              <c:f>'Dashboard Data'!$D$7</c:f>
              <c:strCache>
                <c:ptCount val="1"/>
                <c:pt idx="0">
                  <c:v>Actual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'Dashboard Data'!$B$8:$B$11</c:f>
              <c:numCache>
                <c:formatCode>General</c:formatCode>
                <c:ptCount val="4"/>
                <c:pt idx="0">
                  <c:v>2023</c:v>
                </c:pt>
                <c:pt idx="1">
                  <c:v>2024</c:v>
                </c:pt>
                <c:pt idx="2">
                  <c:v>2025</c:v>
                </c:pt>
                <c:pt idx="3">
                  <c:v>2026</c:v>
                </c:pt>
              </c:numCache>
            </c:numRef>
          </c:cat>
          <c:val>
            <c:numRef>
              <c:f>'Dashboard Data'!$D$8:$D$11</c:f>
              <c:numCache>
                <c:formatCode>#,##0</c:formatCode>
                <c:ptCount val="4"/>
                <c:pt idx="1">
                  <c:v>0.12159666182579321</c:v>
                </c:pt>
              </c:numCache>
            </c:numRef>
          </c:val>
          <c:extLst>
            <c:ext xmlns:c16="http://schemas.microsoft.com/office/drawing/2014/chart" uri="{C3380CC4-5D6E-409C-BE32-E72D297353CC}">
              <c16:uniqueId val="{00000001-7EFD-4983-9CE1-41A0EA3E74E0}"/>
            </c:ext>
          </c:extLst>
        </c:ser>
        <c:ser>
          <c:idx val="2"/>
          <c:order val="2"/>
          <c:tx>
            <c:strRef>
              <c:f>'Dashboard Data'!$E$7</c:f>
              <c:strCache>
                <c:ptCount val="1"/>
                <c:pt idx="0">
                  <c:v>Target</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'Dashboard Data'!$B$8:$B$11</c:f>
              <c:numCache>
                <c:formatCode>General</c:formatCode>
                <c:ptCount val="4"/>
                <c:pt idx="0">
                  <c:v>2023</c:v>
                </c:pt>
                <c:pt idx="1">
                  <c:v>2024</c:v>
                </c:pt>
                <c:pt idx="2">
                  <c:v>2025</c:v>
                </c:pt>
                <c:pt idx="3">
                  <c:v>2026</c:v>
                </c:pt>
              </c:numCache>
            </c:numRef>
          </c:cat>
          <c:val>
            <c:numRef>
              <c:f>'Dashboard Data'!$E$8:$E$11</c:f>
              <c:numCache>
                <c:formatCode>#,##0.00</c:formatCode>
                <c:ptCount val="4"/>
                <c:pt idx="1">
                  <c:v>1.4479042538566409</c:v>
                </c:pt>
                <c:pt idx="2">
                  <c:v>1.3029165663110507</c:v>
                </c:pt>
                <c:pt idx="3">
                  <c:v>1.1727235407599088</c:v>
                </c:pt>
              </c:numCache>
            </c:numRef>
          </c:val>
          <c:extLst>
            <c:ext xmlns:c16="http://schemas.microsoft.com/office/drawing/2014/chart" uri="{C3380CC4-5D6E-409C-BE32-E72D297353CC}">
              <c16:uniqueId val="{00000002-7EFD-4983-9CE1-41A0EA3E74E0}"/>
            </c:ext>
          </c:extLst>
        </c:ser>
        <c:ser>
          <c:idx val="3"/>
          <c:order val="3"/>
          <c:tx>
            <c:strRef>
              <c:f>'Dashboard Data'!$F$7</c:f>
              <c:strCache>
                <c:ptCount val="1"/>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'Dashboard Data'!$B$8:$B$11</c:f>
              <c:numCache>
                <c:formatCode>General</c:formatCode>
                <c:ptCount val="4"/>
                <c:pt idx="0">
                  <c:v>2023</c:v>
                </c:pt>
                <c:pt idx="1">
                  <c:v>2024</c:v>
                </c:pt>
                <c:pt idx="2">
                  <c:v>2025</c:v>
                </c:pt>
                <c:pt idx="3">
                  <c:v>2026</c:v>
                </c:pt>
              </c:numCache>
            </c:numRef>
          </c:cat>
          <c:val>
            <c:numRef>
              <c:f>'Dashboard Data'!$F$8:$F$11</c:f>
              <c:numCache>
                <c:formatCode>General</c:formatCode>
                <c:ptCount val="4"/>
              </c:numCache>
            </c:numRef>
          </c:val>
          <c:extLst>
            <c:ext xmlns:c16="http://schemas.microsoft.com/office/drawing/2014/chart" uri="{C3380CC4-5D6E-409C-BE32-E72D297353CC}">
              <c16:uniqueId val="{00000003-7EFD-4983-9CE1-41A0EA3E74E0}"/>
            </c:ext>
          </c:extLst>
        </c:ser>
        <c:dLbls>
          <c:dLblPos val="outEnd"/>
          <c:showLegendKey val="0"/>
          <c:showVal val="1"/>
          <c:showCatName val="0"/>
          <c:showSerName val="0"/>
          <c:showPercent val="0"/>
          <c:showBubbleSize val="0"/>
        </c:dLbls>
        <c:gapWidth val="0"/>
        <c:overlap val="-27"/>
        <c:axId val="178427440"/>
        <c:axId val="129496224"/>
      </c:barChart>
      <c:catAx>
        <c:axId val="178427440"/>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cap="none" spc="20" normalizeH="0" baseline="0">
                <a:solidFill>
                  <a:schemeClr val="bg2">
                    <a:lumMod val="50000"/>
                  </a:schemeClr>
                </a:solidFill>
                <a:latin typeface="+mn-lt"/>
                <a:ea typeface="+mn-ea"/>
                <a:cs typeface="+mn-cs"/>
              </a:defRPr>
            </a:pPr>
            <a:endParaRPr lang="en-US"/>
          </a:p>
        </c:txPr>
        <c:crossAx val="129496224"/>
        <c:crosses val="autoZero"/>
        <c:auto val="1"/>
        <c:lblAlgn val="ctr"/>
        <c:lblOffset val="100"/>
        <c:noMultiLvlLbl val="0"/>
      </c:catAx>
      <c:valAx>
        <c:axId val="129496224"/>
        <c:scaling>
          <c:orientation val="minMax"/>
        </c:scaling>
        <c:delete val="1"/>
        <c:axPos val="l"/>
        <c:numFmt formatCode="_(* #,##0.00_);_(* \(#,##0.00\);_(* &quot;-&quot;??_);_(@_)" sourceLinked="1"/>
        <c:majorTickMark val="none"/>
        <c:minorTickMark val="none"/>
        <c:tickLblPos val="nextTo"/>
        <c:crossAx val="1784274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800" b="0" i="0" u="none" strike="noStrike" kern="1200" cap="none" spc="50" normalizeH="0" baseline="0">
                <a:solidFill>
                  <a:srgbClr val="C00000"/>
                </a:solidFill>
                <a:latin typeface="+mj-lt"/>
                <a:ea typeface="+mj-ea"/>
                <a:cs typeface="+mj-cs"/>
              </a:defRPr>
            </a:pPr>
            <a:r>
              <a:rPr lang="en-US" sz="800" b="0" i="0" u="none" strike="noStrike" kern="1200" cap="none" spc="50" normalizeH="0" baseline="0">
                <a:solidFill>
                  <a:srgbClr val="C00000"/>
                </a:solidFill>
                <a:latin typeface="+mj-lt"/>
                <a:ea typeface="+mj-ea"/>
                <a:cs typeface="+mj-cs"/>
              </a:rPr>
              <a:t>Gas Consumption (MMBTU/DP)</a:t>
            </a:r>
          </a:p>
        </c:rich>
      </c:tx>
      <c:overlay val="0"/>
      <c:spPr>
        <a:solidFill>
          <a:srgbClr val="FFFFCC"/>
        </a:solidFill>
        <a:ln>
          <a:noFill/>
        </a:ln>
        <a:effectLst/>
      </c:spPr>
      <c:txPr>
        <a:bodyPr rot="0" spcFirstLastPara="1" vertOverflow="ellipsis" vert="horz" wrap="square" anchor="ctr" anchorCtr="1"/>
        <a:lstStyle/>
        <a:p>
          <a:pPr algn="ctr" rtl="0">
            <a:defRPr lang="en-US" sz="800" b="0" i="0" u="none" strike="noStrike" kern="1200" cap="none" spc="50" normalizeH="0" baseline="0">
              <a:solidFill>
                <a:srgbClr val="C00000"/>
              </a:solidFill>
              <a:latin typeface="+mj-lt"/>
              <a:ea typeface="+mj-ea"/>
              <a:cs typeface="+mj-cs"/>
            </a:defRPr>
          </a:pPr>
          <a:endParaRPr lang="en-US"/>
        </a:p>
      </c:txPr>
    </c:title>
    <c:autoTitleDeleted val="0"/>
    <c:plotArea>
      <c:layout/>
      <c:barChart>
        <c:barDir val="col"/>
        <c:grouping val="clustered"/>
        <c:varyColors val="0"/>
        <c:ser>
          <c:idx val="0"/>
          <c:order val="0"/>
          <c:tx>
            <c:strRef>
              <c:f>'Dashboard Data'!$C$24</c:f>
              <c:strCache>
                <c:ptCount val="1"/>
                <c:pt idx="0">
                  <c:v> Baseline </c:v>
                </c:pt>
              </c:strCache>
            </c:strRef>
          </c:tx>
          <c:spPr>
            <a:solidFill>
              <a:srgbClr val="CB003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'Dashboard Data'!$B$25:$B$28</c:f>
              <c:numCache>
                <c:formatCode>General</c:formatCode>
                <c:ptCount val="4"/>
                <c:pt idx="0">
                  <c:v>2023</c:v>
                </c:pt>
                <c:pt idx="1">
                  <c:v>2024</c:v>
                </c:pt>
                <c:pt idx="2">
                  <c:v>2025</c:v>
                </c:pt>
                <c:pt idx="3">
                  <c:v>2026</c:v>
                </c:pt>
              </c:numCache>
            </c:numRef>
          </c:cat>
          <c:val>
            <c:numRef>
              <c:f>'Dashboard Data'!$C$25:$C$28</c:f>
              <c:numCache>
                <c:formatCode>General</c:formatCode>
                <c:ptCount val="4"/>
                <c:pt idx="0" formatCode="_(* #,##0.0000_);_(* \(#,##0.0000\);_(* &quot;-&quot;??_);_(@_)">
                  <c:v>1.9921087066947056E-2</c:v>
                </c:pt>
              </c:numCache>
            </c:numRef>
          </c:val>
          <c:extLst>
            <c:ext xmlns:c16="http://schemas.microsoft.com/office/drawing/2014/chart" uri="{C3380CC4-5D6E-409C-BE32-E72D297353CC}">
              <c16:uniqueId val="{00000000-4C69-4E11-9347-F076B2AA7F09}"/>
            </c:ext>
          </c:extLst>
        </c:ser>
        <c:ser>
          <c:idx val="1"/>
          <c:order val="1"/>
          <c:tx>
            <c:strRef>
              <c:f>'Dashboard Data'!$D$24</c:f>
              <c:strCache>
                <c:ptCount val="1"/>
                <c:pt idx="0">
                  <c:v>Actual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'Dashboard Data'!$B$25:$B$28</c:f>
              <c:numCache>
                <c:formatCode>General</c:formatCode>
                <c:ptCount val="4"/>
                <c:pt idx="0">
                  <c:v>2023</c:v>
                </c:pt>
                <c:pt idx="1">
                  <c:v>2024</c:v>
                </c:pt>
                <c:pt idx="2">
                  <c:v>2025</c:v>
                </c:pt>
                <c:pt idx="3">
                  <c:v>2026</c:v>
                </c:pt>
              </c:numCache>
            </c:numRef>
          </c:cat>
          <c:val>
            <c:numRef>
              <c:f>'Dashboard Data'!$D$25:$D$28</c:f>
              <c:numCache>
                <c:formatCode>#,##0</c:formatCode>
                <c:ptCount val="4"/>
                <c:pt idx="1">
                  <c:v>1.7133084724710213E-3</c:v>
                </c:pt>
              </c:numCache>
            </c:numRef>
          </c:val>
          <c:extLst>
            <c:ext xmlns:c16="http://schemas.microsoft.com/office/drawing/2014/chart" uri="{C3380CC4-5D6E-409C-BE32-E72D297353CC}">
              <c16:uniqueId val="{00000001-4C69-4E11-9347-F076B2AA7F09}"/>
            </c:ext>
          </c:extLst>
        </c:ser>
        <c:ser>
          <c:idx val="2"/>
          <c:order val="2"/>
          <c:tx>
            <c:strRef>
              <c:f>'Dashboard Data'!$E$24</c:f>
              <c:strCache>
                <c:ptCount val="1"/>
                <c:pt idx="0">
                  <c:v>Target</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'Dashboard Data'!$B$25:$B$28</c:f>
              <c:numCache>
                <c:formatCode>General</c:formatCode>
                <c:ptCount val="4"/>
                <c:pt idx="0">
                  <c:v>2023</c:v>
                </c:pt>
                <c:pt idx="1">
                  <c:v>2024</c:v>
                </c:pt>
                <c:pt idx="2">
                  <c:v>2025</c:v>
                </c:pt>
                <c:pt idx="3">
                  <c:v>2026</c:v>
                </c:pt>
              </c:numCache>
            </c:numRef>
          </c:cat>
          <c:val>
            <c:numRef>
              <c:f>'Dashboard Data'!$E$25:$E$28</c:f>
              <c:numCache>
                <c:formatCode>#,##0.0000</c:formatCode>
                <c:ptCount val="4"/>
                <c:pt idx="1">
                  <c:v>1.8380796829811974E-2</c:v>
                </c:pt>
                <c:pt idx="2">
                  <c:v>1.6840506592676895E-2</c:v>
                </c:pt>
                <c:pt idx="3">
                  <c:v>1.5505588387159824E-2</c:v>
                </c:pt>
              </c:numCache>
            </c:numRef>
          </c:val>
          <c:extLst>
            <c:ext xmlns:c16="http://schemas.microsoft.com/office/drawing/2014/chart" uri="{C3380CC4-5D6E-409C-BE32-E72D297353CC}">
              <c16:uniqueId val="{00000002-4C69-4E11-9347-F076B2AA7F09}"/>
            </c:ext>
          </c:extLst>
        </c:ser>
        <c:ser>
          <c:idx val="3"/>
          <c:order val="3"/>
          <c:tx>
            <c:strRef>
              <c:f>'Dashboard Data'!$F$24</c:f>
              <c:strCache>
                <c:ptCount val="1"/>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'Dashboard Data'!$B$25:$B$28</c:f>
              <c:numCache>
                <c:formatCode>General</c:formatCode>
                <c:ptCount val="4"/>
                <c:pt idx="0">
                  <c:v>2023</c:v>
                </c:pt>
                <c:pt idx="1">
                  <c:v>2024</c:v>
                </c:pt>
                <c:pt idx="2">
                  <c:v>2025</c:v>
                </c:pt>
                <c:pt idx="3">
                  <c:v>2026</c:v>
                </c:pt>
              </c:numCache>
            </c:numRef>
          </c:cat>
          <c:val>
            <c:numRef>
              <c:f>'Dashboard Data'!$F$25:$F$28</c:f>
              <c:numCache>
                <c:formatCode>General</c:formatCode>
                <c:ptCount val="4"/>
              </c:numCache>
            </c:numRef>
          </c:val>
          <c:extLst>
            <c:ext xmlns:c16="http://schemas.microsoft.com/office/drawing/2014/chart" uri="{C3380CC4-5D6E-409C-BE32-E72D297353CC}">
              <c16:uniqueId val="{00000003-4C69-4E11-9347-F076B2AA7F09}"/>
            </c:ext>
          </c:extLst>
        </c:ser>
        <c:dLbls>
          <c:dLblPos val="outEnd"/>
          <c:showLegendKey val="0"/>
          <c:showVal val="1"/>
          <c:showCatName val="0"/>
          <c:showSerName val="0"/>
          <c:showPercent val="0"/>
          <c:showBubbleSize val="0"/>
        </c:dLbls>
        <c:gapWidth val="0"/>
        <c:overlap val="-27"/>
        <c:axId val="492590816"/>
        <c:axId val="938685936"/>
      </c:barChart>
      <c:catAx>
        <c:axId val="492590816"/>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cap="none" spc="20" normalizeH="0" baseline="0">
                <a:solidFill>
                  <a:schemeClr val="bg2">
                    <a:lumMod val="50000"/>
                  </a:schemeClr>
                </a:solidFill>
                <a:latin typeface="+mn-lt"/>
                <a:ea typeface="+mn-ea"/>
                <a:cs typeface="+mn-cs"/>
              </a:defRPr>
            </a:pPr>
            <a:endParaRPr lang="en-US"/>
          </a:p>
        </c:txPr>
        <c:crossAx val="938685936"/>
        <c:crosses val="autoZero"/>
        <c:auto val="1"/>
        <c:lblAlgn val="ctr"/>
        <c:lblOffset val="100"/>
        <c:noMultiLvlLbl val="0"/>
      </c:catAx>
      <c:valAx>
        <c:axId val="938685936"/>
        <c:scaling>
          <c:orientation val="minMax"/>
        </c:scaling>
        <c:delete val="1"/>
        <c:axPos val="l"/>
        <c:numFmt formatCode="_(* #,##0.0000_);_(* \(#,##0.0000\);_(* &quot;-&quot;??_);_(@_)" sourceLinked="1"/>
        <c:majorTickMark val="none"/>
        <c:minorTickMark val="none"/>
        <c:tickLblPos val="nextTo"/>
        <c:crossAx val="4925908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800" b="0" i="0" u="none" strike="noStrike" kern="1200" cap="none" spc="50" normalizeH="0" baseline="0">
                <a:solidFill>
                  <a:srgbClr val="C00000"/>
                </a:solidFill>
                <a:latin typeface="+mj-lt"/>
                <a:ea typeface="+mj-ea"/>
                <a:cs typeface="+mj-cs"/>
              </a:defRPr>
            </a:pPr>
            <a:r>
              <a:rPr lang="en-US" sz="800" b="0" i="0" u="none" strike="noStrike" kern="1200" cap="none" spc="50" normalizeH="0" baseline="0">
                <a:solidFill>
                  <a:srgbClr val="C00000"/>
                </a:solidFill>
                <a:latin typeface="+mj-lt"/>
                <a:ea typeface="+mj-ea"/>
                <a:cs typeface="+mj-cs"/>
              </a:rPr>
              <a:t>Recyled Material Increase (Kg/DP)</a:t>
            </a:r>
          </a:p>
        </c:rich>
      </c:tx>
      <c:overlay val="0"/>
      <c:spPr>
        <a:solidFill>
          <a:srgbClr val="FFFFCC"/>
        </a:solidFill>
        <a:ln>
          <a:noFill/>
        </a:ln>
        <a:effectLst/>
      </c:spPr>
      <c:txPr>
        <a:bodyPr rot="0" spcFirstLastPara="1" vertOverflow="ellipsis" vert="horz" wrap="square" anchor="ctr" anchorCtr="1"/>
        <a:lstStyle/>
        <a:p>
          <a:pPr algn="ctr" rtl="0">
            <a:defRPr lang="en-US" sz="800" b="0" i="0" u="none" strike="noStrike" kern="1200" cap="none" spc="50" normalizeH="0" baseline="0">
              <a:solidFill>
                <a:srgbClr val="C00000"/>
              </a:solidFill>
              <a:latin typeface="+mj-lt"/>
              <a:ea typeface="+mj-ea"/>
              <a:cs typeface="+mj-cs"/>
            </a:defRPr>
          </a:pPr>
          <a:endParaRPr lang="en-US"/>
        </a:p>
      </c:txPr>
    </c:title>
    <c:autoTitleDeleted val="0"/>
    <c:plotArea>
      <c:layout/>
      <c:barChart>
        <c:barDir val="col"/>
        <c:grouping val="clustered"/>
        <c:varyColors val="0"/>
        <c:ser>
          <c:idx val="0"/>
          <c:order val="0"/>
          <c:tx>
            <c:strRef>
              <c:f>'Dashboard Data'!$C$90</c:f>
              <c:strCache>
                <c:ptCount val="1"/>
                <c:pt idx="0">
                  <c:v> Baseline </c:v>
                </c:pt>
              </c:strCache>
            </c:strRef>
          </c:tx>
          <c:spPr>
            <a:solidFill>
              <a:srgbClr val="CB003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'Dashboard Data'!$B$91:$B$94</c:f>
              <c:numCache>
                <c:formatCode>General</c:formatCode>
                <c:ptCount val="4"/>
                <c:pt idx="0">
                  <c:v>2023</c:v>
                </c:pt>
                <c:pt idx="1">
                  <c:v>2024</c:v>
                </c:pt>
                <c:pt idx="2">
                  <c:v>2025</c:v>
                </c:pt>
                <c:pt idx="3">
                  <c:v>2026</c:v>
                </c:pt>
              </c:numCache>
            </c:numRef>
          </c:cat>
          <c:val>
            <c:numRef>
              <c:f>'Dashboard Data'!$C$91:$C$94</c:f>
              <c:numCache>
                <c:formatCode>General</c:formatCode>
                <c:ptCount val="4"/>
                <c:pt idx="0" formatCode="_(* #,##0.000_);_(* \(#,##0.000\);_(* &quot;-&quot;??_);_(@_)">
                  <c:v>0.19298593683153836</c:v>
                </c:pt>
              </c:numCache>
            </c:numRef>
          </c:val>
          <c:extLst>
            <c:ext xmlns:c16="http://schemas.microsoft.com/office/drawing/2014/chart" uri="{C3380CC4-5D6E-409C-BE32-E72D297353CC}">
              <c16:uniqueId val="{00000000-7D08-47A3-88A0-A82045987407}"/>
            </c:ext>
          </c:extLst>
        </c:ser>
        <c:ser>
          <c:idx val="1"/>
          <c:order val="1"/>
          <c:tx>
            <c:strRef>
              <c:f>'Dashboard Data'!$D$90</c:f>
              <c:strCache>
                <c:ptCount val="1"/>
                <c:pt idx="0">
                  <c:v>Actual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'Dashboard Data'!$B$91:$B$94</c:f>
              <c:numCache>
                <c:formatCode>General</c:formatCode>
                <c:ptCount val="4"/>
                <c:pt idx="0">
                  <c:v>2023</c:v>
                </c:pt>
                <c:pt idx="1">
                  <c:v>2024</c:v>
                </c:pt>
                <c:pt idx="2">
                  <c:v>2025</c:v>
                </c:pt>
                <c:pt idx="3">
                  <c:v>2026</c:v>
                </c:pt>
              </c:numCache>
            </c:numRef>
          </c:cat>
          <c:val>
            <c:numRef>
              <c:f>'Dashboard Data'!$D$91:$D$94</c:f>
              <c:numCache>
                <c:formatCode>#,##0.000</c:formatCode>
                <c:ptCount val="4"/>
                <c:pt idx="1">
                  <c:v>38.881779999999999</c:v>
                </c:pt>
              </c:numCache>
            </c:numRef>
          </c:val>
          <c:extLst>
            <c:ext xmlns:c16="http://schemas.microsoft.com/office/drawing/2014/chart" uri="{C3380CC4-5D6E-409C-BE32-E72D297353CC}">
              <c16:uniqueId val="{00000001-7D08-47A3-88A0-A82045987407}"/>
            </c:ext>
          </c:extLst>
        </c:ser>
        <c:ser>
          <c:idx val="2"/>
          <c:order val="2"/>
          <c:tx>
            <c:strRef>
              <c:f>'Dashboard Data'!$E$90</c:f>
              <c:strCache>
                <c:ptCount val="1"/>
                <c:pt idx="0">
                  <c:v>Target</c:v>
                </c:pt>
              </c:strCache>
            </c:strRef>
          </c:tx>
          <c:spPr>
            <a:solidFill>
              <a:schemeClr val="accent1">
                <a:lumMod val="40000"/>
                <a:lumOff val="60000"/>
              </a:schemeClr>
            </a:solidFill>
            <a:ln>
              <a:noFill/>
            </a:ln>
            <a:effectLst/>
          </c:spPr>
          <c:invertIfNegative val="0"/>
          <c:dLbls>
            <c:dLbl>
              <c:idx val="2"/>
              <c:layout>
                <c:manualLayout>
                  <c:x val="5.3547523427040517E-3"/>
                  <c:y val="-4.636345051157993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D08-47A3-88A0-A82045987407}"/>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'Dashboard Data'!$B$91:$B$94</c:f>
              <c:numCache>
                <c:formatCode>General</c:formatCode>
                <c:ptCount val="4"/>
                <c:pt idx="0">
                  <c:v>2023</c:v>
                </c:pt>
                <c:pt idx="1">
                  <c:v>2024</c:v>
                </c:pt>
                <c:pt idx="2">
                  <c:v>2025</c:v>
                </c:pt>
                <c:pt idx="3">
                  <c:v>2026</c:v>
                </c:pt>
              </c:numCache>
            </c:numRef>
          </c:cat>
          <c:val>
            <c:numRef>
              <c:f>'Dashboard Data'!$E$91:$E$94</c:f>
              <c:numCache>
                <c:formatCode>#,##0.000</c:formatCode>
                <c:ptCount val="4"/>
                <c:pt idx="1">
                  <c:v>0.20949131300791995</c:v>
                </c:pt>
                <c:pt idx="2">
                  <c:v>0.22599668918430149</c:v>
                </c:pt>
                <c:pt idx="3">
                  <c:v>0.24758064264572358</c:v>
                </c:pt>
              </c:numCache>
            </c:numRef>
          </c:val>
          <c:extLst>
            <c:ext xmlns:c16="http://schemas.microsoft.com/office/drawing/2014/chart" uri="{C3380CC4-5D6E-409C-BE32-E72D297353CC}">
              <c16:uniqueId val="{00000002-7D08-47A3-88A0-A82045987407}"/>
            </c:ext>
          </c:extLst>
        </c:ser>
        <c:ser>
          <c:idx val="3"/>
          <c:order val="3"/>
          <c:tx>
            <c:strRef>
              <c:f>'Dashboard Data'!$F$90</c:f>
              <c:strCache>
                <c:ptCount val="1"/>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'Dashboard Data'!$B$91:$B$94</c:f>
              <c:numCache>
                <c:formatCode>General</c:formatCode>
                <c:ptCount val="4"/>
                <c:pt idx="0">
                  <c:v>2023</c:v>
                </c:pt>
                <c:pt idx="1">
                  <c:v>2024</c:v>
                </c:pt>
                <c:pt idx="2">
                  <c:v>2025</c:v>
                </c:pt>
                <c:pt idx="3">
                  <c:v>2026</c:v>
                </c:pt>
              </c:numCache>
            </c:numRef>
          </c:cat>
          <c:val>
            <c:numRef>
              <c:f>'Dashboard Data'!$F$91:$F$94</c:f>
              <c:numCache>
                <c:formatCode>General</c:formatCode>
                <c:ptCount val="4"/>
              </c:numCache>
            </c:numRef>
          </c:val>
          <c:extLst>
            <c:ext xmlns:c16="http://schemas.microsoft.com/office/drawing/2014/chart" uri="{C3380CC4-5D6E-409C-BE32-E72D297353CC}">
              <c16:uniqueId val="{00000003-7D08-47A3-88A0-A82045987407}"/>
            </c:ext>
          </c:extLst>
        </c:ser>
        <c:dLbls>
          <c:dLblPos val="outEnd"/>
          <c:showLegendKey val="0"/>
          <c:showVal val="1"/>
          <c:showCatName val="0"/>
          <c:showSerName val="0"/>
          <c:showPercent val="0"/>
          <c:showBubbleSize val="0"/>
        </c:dLbls>
        <c:gapWidth val="0"/>
        <c:overlap val="-27"/>
        <c:axId val="1416504608"/>
        <c:axId val="410493072"/>
      </c:barChart>
      <c:catAx>
        <c:axId val="1416504608"/>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cap="none" spc="20" normalizeH="0" baseline="0">
                <a:solidFill>
                  <a:schemeClr val="tx1">
                    <a:lumMod val="65000"/>
                    <a:lumOff val="35000"/>
                  </a:schemeClr>
                </a:solidFill>
                <a:latin typeface="+mn-lt"/>
                <a:ea typeface="+mn-ea"/>
                <a:cs typeface="+mn-cs"/>
              </a:defRPr>
            </a:pPr>
            <a:endParaRPr lang="en-US"/>
          </a:p>
        </c:txPr>
        <c:crossAx val="410493072"/>
        <c:crosses val="autoZero"/>
        <c:auto val="1"/>
        <c:lblAlgn val="ctr"/>
        <c:lblOffset val="100"/>
        <c:noMultiLvlLbl val="0"/>
      </c:catAx>
      <c:valAx>
        <c:axId val="410493072"/>
        <c:scaling>
          <c:orientation val="minMax"/>
        </c:scaling>
        <c:delete val="1"/>
        <c:axPos val="l"/>
        <c:numFmt formatCode="_(* #,##0.000_);_(* \(#,##0.000\);_(* &quot;-&quot;??_);_(@_)" sourceLinked="1"/>
        <c:majorTickMark val="none"/>
        <c:minorTickMark val="none"/>
        <c:tickLblPos val="nextTo"/>
        <c:crossAx val="1416504608"/>
        <c:crosses val="autoZero"/>
        <c:crossBetween val="between"/>
      </c:valAx>
      <c:spPr>
        <a:noFill/>
        <a:ln>
          <a:noFill/>
        </a:ln>
        <a:effectLst/>
      </c:spPr>
    </c:plotArea>
    <c:legend>
      <c:legendPos val="b"/>
      <c:layout>
        <c:manualLayout>
          <c:xMode val="edge"/>
          <c:yMode val="edge"/>
          <c:x val="3.0914812110106819E-2"/>
          <c:y val="0.80295411843732056"/>
          <c:w val="0.91298469702671081"/>
          <c:h val="0.1661369145549595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800" b="0" i="0" u="none" strike="noStrike" kern="1200" cap="none" spc="50" normalizeH="0" baseline="0">
                <a:solidFill>
                  <a:srgbClr val="C00000"/>
                </a:solidFill>
                <a:latin typeface="+mj-lt"/>
                <a:ea typeface="+mj-ea"/>
                <a:cs typeface="+mj-cs"/>
              </a:defRPr>
            </a:pPr>
            <a:r>
              <a:rPr lang="en-US" sz="800" b="0" i="0" u="none" strike="noStrike" kern="1200" cap="none" spc="50" normalizeH="0" baseline="0">
                <a:solidFill>
                  <a:srgbClr val="C00000"/>
                </a:solidFill>
                <a:latin typeface="+mj-lt"/>
                <a:ea typeface="+mj-ea"/>
                <a:cs typeface="+mj-cs"/>
              </a:rPr>
              <a:t>Haz. Chem. Cons. (KG/DP)</a:t>
            </a:r>
          </a:p>
        </c:rich>
      </c:tx>
      <c:overlay val="0"/>
      <c:spPr>
        <a:solidFill>
          <a:srgbClr val="FFFFCC"/>
        </a:solidFill>
        <a:ln>
          <a:noFill/>
        </a:ln>
        <a:effectLst/>
      </c:spPr>
      <c:txPr>
        <a:bodyPr rot="0" spcFirstLastPara="1" vertOverflow="ellipsis" vert="horz" wrap="square" anchor="ctr" anchorCtr="1"/>
        <a:lstStyle/>
        <a:p>
          <a:pPr algn="ctr" rtl="0">
            <a:defRPr lang="en-US" sz="800" b="0" i="0" u="none" strike="noStrike" kern="1200" cap="none" spc="50" normalizeH="0" baseline="0">
              <a:solidFill>
                <a:srgbClr val="C00000"/>
              </a:solidFill>
              <a:latin typeface="+mj-lt"/>
              <a:ea typeface="+mj-ea"/>
              <a:cs typeface="+mj-cs"/>
            </a:defRPr>
          </a:pPr>
          <a:endParaRPr lang="en-US"/>
        </a:p>
      </c:txPr>
    </c:title>
    <c:autoTitleDeleted val="0"/>
    <c:plotArea>
      <c:layout/>
      <c:barChart>
        <c:barDir val="col"/>
        <c:grouping val="clustered"/>
        <c:varyColors val="0"/>
        <c:ser>
          <c:idx val="0"/>
          <c:order val="0"/>
          <c:tx>
            <c:strRef>
              <c:f>'Dashboard Data'!$C$103</c:f>
              <c:strCache>
                <c:ptCount val="1"/>
                <c:pt idx="0">
                  <c:v> Baseline </c:v>
                </c:pt>
              </c:strCache>
            </c:strRef>
          </c:tx>
          <c:spPr>
            <a:solidFill>
              <a:srgbClr val="CB003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'Dashboard Data'!$B$104:$B$107</c:f>
              <c:numCache>
                <c:formatCode>General</c:formatCode>
                <c:ptCount val="4"/>
                <c:pt idx="0">
                  <c:v>2023</c:v>
                </c:pt>
                <c:pt idx="1">
                  <c:v>2024</c:v>
                </c:pt>
                <c:pt idx="2">
                  <c:v>2025</c:v>
                </c:pt>
                <c:pt idx="3">
                  <c:v>2026</c:v>
                </c:pt>
              </c:numCache>
            </c:numRef>
          </c:cat>
          <c:val>
            <c:numRef>
              <c:f>'Dashboard Data'!$C$104:$C$107</c:f>
              <c:numCache>
                <c:formatCode>General</c:formatCode>
                <c:ptCount val="4"/>
                <c:pt idx="0" formatCode="_(* #,##0.000_);_(* \(#,##0.000\);_(* &quot;-&quot;??_);_(@_)">
                  <c:v>0.22791974140138208</c:v>
                </c:pt>
              </c:numCache>
            </c:numRef>
          </c:val>
          <c:extLst>
            <c:ext xmlns:c16="http://schemas.microsoft.com/office/drawing/2014/chart" uri="{C3380CC4-5D6E-409C-BE32-E72D297353CC}">
              <c16:uniqueId val="{00000000-6989-4EC9-9A15-4E3B9672F6AD}"/>
            </c:ext>
          </c:extLst>
        </c:ser>
        <c:ser>
          <c:idx val="1"/>
          <c:order val="1"/>
          <c:tx>
            <c:strRef>
              <c:f>'Dashboard Data'!$D$103</c:f>
              <c:strCache>
                <c:ptCount val="1"/>
                <c:pt idx="0">
                  <c:v>Actual</c:v>
                </c:pt>
              </c:strCache>
            </c:strRef>
          </c:tx>
          <c:spPr>
            <a:solidFill>
              <a:schemeClr val="accent5"/>
            </a:solidFill>
            <a:ln>
              <a:noFill/>
            </a:ln>
            <a:effectLst/>
          </c:spPr>
          <c:invertIfNegative val="0"/>
          <c:dLbls>
            <c:dLbl>
              <c:idx val="2"/>
              <c:layout>
                <c:manualLayout>
                  <c:x val="-3.1746031746031841E-2"/>
                  <c:y val="-2.409638554216867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989-4EC9-9A15-4E3B9672F6AD}"/>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'Dashboard Data'!$B$104:$B$107</c:f>
              <c:numCache>
                <c:formatCode>General</c:formatCode>
                <c:ptCount val="4"/>
                <c:pt idx="0">
                  <c:v>2023</c:v>
                </c:pt>
                <c:pt idx="1">
                  <c:v>2024</c:v>
                </c:pt>
                <c:pt idx="2">
                  <c:v>2025</c:v>
                </c:pt>
                <c:pt idx="3">
                  <c:v>2026</c:v>
                </c:pt>
              </c:numCache>
            </c:numRef>
          </c:cat>
          <c:val>
            <c:numRef>
              <c:f>'Dashboard Data'!$D$104:$D$107</c:f>
              <c:numCache>
                <c:formatCode>#,##0</c:formatCode>
                <c:ptCount val="4"/>
                <c:pt idx="1">
                  <c:v>0.21708915681882804</c:v>
                </c:pt>
              </c:numCache>
            </c:numRef>
          </c:val>
          <c:extLst>
            <c:ext xmlns:c16="http://schemas.microsoft.com/office/drawing/2014/chart" uri="{C3380CC4-5D6E-409C-BE32-E72D297353CC}">
              <c16:uniqueId val="{00000001-6989-4EC9-9A15-4E3B9672F6AD}"/>
            </c:ext>
          </c:extLst>
        </c:ser>
        <c:ser>
          <c:idx val="2"/>
          <c:order val="2"/>
          <c:tx>
            <c:strRef>
              <c:f>'Dashboard Data'!$E$103</c:f>
              <c:strCache>
                <c:ptCount val="1"/>
                <c:pt idx="0">
                  <c:v>Target</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'Dashboard Data'!$B$104:$B$107</c:f>
              <c:numCache>
                <c:formatCode>General</c:formatCode>
                <c:ptCount val="4"/>
                <c:pt idx="0">
                  <c:v>2023</c:v>
                </c:pt>
                <c:pt idx="1">
                  <c:v>2024</c:v>
                </c:pt>
                <c:pt idx="2">
                  <c:v>2025</c:v>
                </c:pt>
                <c:pt idx="3">
                  <c:v>2026</c:v>
                </c:pt>
              </c:numCache>
            </c:numRef>
          </c:cat>
          <c:val>
            <c:numRef>
              <c:f>'Dashboard Data'!$E$104:$E$107</c:f>
              <c:numCache>
                <c:formatCode>#,##0.000</c:formatCode>
                <c:ptCount val="4"/>
                <c:pt idx="1">
                  <c:v>0.20437873524724873</c:v>
                </c:pt>
                <c:pt idx="2">
                  <c:v>0.18404786629595171</c:v>
                </c:pt>
                <c:pt idx="3">
                  <c:v>0.16585708881321232</c:v>
                </c:pt>
              </c:numCache>
            </c:numRef>
          </c:val>
          <c:extLst>
            <c:ext xmlns:c16="http://schemas.microsoft.com/office/drawing/2014/chart" uri="{C3380CC4-5D6E-409C-BE32-E72D297353CC}">
              <c16:uniqueId val="{00000002-6989-4EC9-9A15-4E3B9672F6AD}"/>
            </c:ext>
          </c:extLst>
        </c:ser>
        <c:ser>
          <c:idx val="3"/>
          <c:order val="3"/>
          <c:tx>
            <c:strRef>
              <c:f>'Dashboard Data'!$F$103</c:f>
              <c:strCache>
                <c:ptCount val="1"/>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'Dashboard Data'!$B$104:$B$107</c:f>
              <c:numCache>
                <c:formatCode>General</c:formatCode>
                <c:ptCount val="4"/>
                <c:pt idx="0">
                  <c:v>2023</c:v>
                </c:pt>
                <c:pt idx="1">
                  <c:v>2024</c:v>
                </c:pt>
                <c:pt idx="2">
                  <c:v>2025</c:v>
                </c:pt>
                <c:pt idx="3">
                  <c:v>2026</c:v>
                </c:pt>
              </c:numCache>
            </c:numRef>
          </c:cat>
          <c:val>
            <c:numRef>
              <c:f>'Dashboard Data'!$F$104:$F$107</c:f>
              <c:numCache>
                <c:formatCode>General</c:formatCode>
                <c:ptCount val="4"/>
              </c:numCache>
            </c:numRef>
          </c:val>
          <c:extLst>
            <c:ext xmlns:c16="http://schemas.microsoft.com/office/drawing/2014/chart" uri="{C3380CC4-5D6E-409C-BE32-E72D297353CC}">
              <c16:uniqueId val="{00000003-6989-4EC9-9A15-4E3B9672F6AD}"/>
            </c:ext>
          </c:extLst>
        </c:ser>
        <c:dLbls>
          <c:dLblPos val="outEnd"/>
          <c:showLegendKey val="0"/>
          <c:showVal val="1"/>
          <c:showCatName val="0"/>
          <c:showSerName val="0"/>
          <c:showPercent val="0"/>
          <c:showBubbleSize val="0"/>
        </c:dLbls>
        <c:gapWidth val="0"/>
        <c:overlap val="-27"/>
        <c:axId val="1416467488"/>
        <c:axId val="410492592"/>
      </c:barChart>
      <c:catAx>
        <c:axId val="1416467488"/>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cap="none" spc="20" normalizeH="0" baseline="0">
                <a:solidFill>
                  <a:schemeClr val="bg2">
                    <a:lumMod val="50000"/>
                  </a:schemeClr>
                </a:solidFill>
                <a:latin typeface="+mn-lt"/>
                <a:ea typeface="+mn-ea"/>
                <a:cs typeface="+mn-cs"/>
              </a:defRPr>
            </a:pPr>
            <a:endParaRPr lang="en-US"/>
          </a:p>
        </c:txPr>
        <c:crossAx val="410492592"/>
        <c:crosses val="autoZero"/>
        <c:auto val="1"/>
        <c:lblAlgn val="ctr"/>
        <c:lblOffset val="100"/>
        <c:noMultiLvlLbl val="0"/>
      </c:catAx>
      <c:valAx>
        <c:axId val="410492592"/>
        <c:scaling>
          <c:orientation val="minMax"/>
        </c:scaling>
        <c:delete val="1"/>
        <c:axPos val="l"/>
        <c:numFmt formatCode="_(* #,##0.000_);_(* \(#,##0.000\);_(* &quot;-&quot;??_);_(@_)" sourceLinked="1"/>
        <c:majorTickMark val="none"/>
        <c:minorTickMark val="none"/>
        <c:tickLblPos val="nextTo"/>
        <c:crossAx val="14164674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800" b="0" i="0" u="none" strike="noStrike" kern="1200" cap="none" spc="50" normalizeH="0" baseline="0">
                <a:solidFill>
                  <a:srgbClr val="C00000"/>
                </a:solidFill>
                <a:latin typeface="+mj-lt"/>
                <a:ea typeface="+mj-ea"/>
                <a:cs typeface="+mj-cs"/>
              </a:defRPr>
            </a:pPr>
            <a:r>
              <a:rPr lang="en-US" sz="800" b="0" i="0" u="none" strike="noStrike" kern="1200" cap="none" spc="50" normalizeH="0" baseline="0">
                <a:solidFill>
                  <a:srgbClr val="C00000"/>
                </a:solidFill>
                <a:latin typeface="+mj-lt"/>
                <a:ea typeface="+mj-ea"/>
                <a:cs typeface="+mj-cs"/>
              </a:rPr>
              <a:t>Water Consumption (L/DP)</a:t>
            </a:r>
          </a:p>
        </c:rich>
      </c:tx>
      <c:overlay val="0"/>
      <c:spPr>
        <a:solidFill>
          <a:srgbClr val="FFFFCC"/>
        </a:solidFill>
        <a:ln>
          <a:noFill/>
        </a:ln>
        <a:effectLst/>
      </c:spPr>
      <c:txPr>
        <a:bodyPr rot="0" spcFirstLastPara="1" vertOverflow="ellipsis" vert="horz" wrap="square" anchor="ctr" anchorCtr="1"/>
        <a:lstStyle/>
        <a:p>
          <a:pPr algn="ctr" rtl="0">
            <a:defRPr lang="en-US" sz="800" b="0" i="0" u="none" strike="noStrike" kern="1200" cap="none" spc="50" normalizeH="0" baseline="0">
              <a:solidFill>
                <a:srgbClr val="C00000"/>
              </a:solidFill>
              <a:latin typeface="+mj-lt"/>
              <a:ea typeface="+mj-ea"/>
              <a:cs typeface="+mj-cs"/>
            </a:defRPr>
          </a:pPr>
          <a:endParaRPr lang="en-US"/>
        </a:p>
      </c:txPr>
    </c:title>
    <c:autoTitleDeleted val="0"/>
    <c:plotArea>
      <c:layout/>
      <c:barChart>
        <c:barDir val="col"/>
        <c:grouping val="clustered"/>
        <c:varyColors val="0"/>
        <c:ser>
          <c:idx val="0"/>
          <c:order val="0"/>
          <c:tx>
            <c:strRef>
              <c:f>'Dashboard Data'!$C$40</c:f>
              <c:strCache>
                <c:ptCount val="1"/>
                <c:pt idx="0">
                  <c:v> Baseline </c:v>
                </c:pt>
              </c:strCache>
            </c:strRef>
          </c:tx>
          <c:spPr>
            <a:solidFill>
              <a:srgbClr val="CB003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'Dashboard Data'!$B$41:$B$44</c:f>
              <c:numCache>
                <c:formatCode>General</c:formatCode>
                <c:ptCount val="4"/>
                <c:pt idx="0">
                  <c:v>2023</c:v>
                </c:pt>
                <c:pt idx="1">
                  <c:v>2024</c:v>
                </c:pt>
                <c:pt idx="2">
                  <c:v>2025</c:v>
                </c:pt>
                <c:pt idx="3">
                  <c:v>2026</c:v>
                </c:pt>
              </c:numCache>
            </c:numRef>
          </c:cat>
          <c:val>
            <c:numRef>
              <c:f>'Dashboard Data'!$C$41:$C$44</c:f>
              <c:numCache>
                <c:formatCode>General</c:formatCode>
                <c:ptCount val="4"/>
                <c:pt idx="0" formatCode="_(* #,##0.00_);_(* \(#,##0.00\);_(* &quot;-&quot;??_);_(@_)">
                  <c:v>17.553152786900327</c:v>
                </c:pt>
              </c:numCache>
            </c:numRef>
          </c:val>
          <c:extLst>
            <c:ext xmlns:c16="http://schemas.microsoft.com/office/drawing/2014/chart" uri="{C3380CC4-5D6E-409C-BE32-E72D297353CC}">
              <c16:uniqueId val="{00000000-A9D9-4702-BB54-A6FB17F48A27}"/>
            </c:ext>
          </c:extLst>
        </c:ser>
        <c:ser>
          <c:idx val="1"/>
          <c:order val="1"/>
          <c:tx>
            <c:strRef>
              <c:f>'Dashboard Data'!$D$40</c:f>
              <c:strCache>
                <c:ptCount val="1"/>
                <c:pt idx="0">
                  <c:v>Actual</c:v>
                </c:pt>
              </c:strCache>
            </c:strRef>
          </c:tx>
          <c:spPr>
            <a:solidFill>
              <a:schemeClr val="accent5"/>
            </a:solidFill>
            <a:ln>
              <a:noFill/>
            </a:ln>
            <a:effectLst/>
          </c:spPr>
          <c:invertIfNegative val="0"/>
          <c:dLbls>
            <c:dLbl>
              <c:idx val="2"/>
              <c:layout>
                <c:manualLayout>
                  <c:x val="-4.3410852713178294E-2"/>
                  <c:y val="-1.860465116279072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9D9-4702-BB54-A6FB17F48A27}"/>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'Dashboard Data'!$B$41:$B$44</c:f>
              <c:numCache>
                <c:formatCode>General</c:formatCode>
                <c:ptCount val="4"/>
                <c:pt idx="0">
                  <c:v>2023</c:v>
                </c:pt>
                <c:pt idx="1">
                  <c:v>2024</c:v>
                </c:pt>
                <c:pt idx="2">
                  <c:v>2025</c:v>
                </c:pt>
                <c:pt idx="3">
                  <c:v>2026</c:v>
                </c:pt>
              </c:numCache>
            </c:numRef>
          </c:cat>
          <c:val>
            <c:numRef>
              <c:f>'Dashboard Data'!$D$41:$D$44</c:f>
              <c:numCache>
                <c:formatCode>#,##0</c:formatCode>
                <c:ptCount val="4"/>
                <c:pt idx="1">
                  <c:v>0</c:v>
                </c:pt>
              </c:numCache>
            </c:numRef>
          </c:val>
          <c:extLst>
            <c:ext xmlns:c16="http://schemas.microsoft.com/office/drawing/2014/chart" uri="{C3380CC4-5D6E-409C-BE32-E72D297353CC}">
              <c16:uniqueId val="{00000001-A9D9-4702-BB54-A6FB17F48A27}"/>
            </c:ext>
          </c:extLst>
        </c:ser>
        <c:ser>
          <c:idx val="2"/>
          <c:order val="2"/>
          <c:tx>
            <c:strRef>
              <c:f>'Dashboard Data'!$E$40</c:f>
              <c:strCache>
                <c:ptCount val="1"/>
                <c:pt idx="0">
                  <c:v>Target</c:v>
                </c:pt>
              </c:strCache>
            </c:strRef>
          </c:tx>
          <c:spPr>
            <a:solidFill>
              <a:schemeClr val="accent1">
                <a:lumMod val="40000"/>
                <a:lumOff val="60000"/>
              </a:schemeClr>
            </a:solidFill>
            <a:ln>
              <a:noFill/>
            </a:ln>
            <a:effectLst/>
          </c:spPr>
          <c:invertIfNegative val="0"/>
          <c:dLbls>
            <c:dLbl>
              <c:idx val="2"/>
              <c:layout>
                <c:manualLayout>
                  <c:x val="1.8604651162790697E-2"/>
                  <c:y val="-4.96124031007751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9D9-4702-BB54-A6FB17F48A27}"/>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'Dashboard Data'!$B$41:$B$44</c:f>
              <c:numCache>
                <c:formatCode>General</c:formatCode>
                <c:ptCount val="4"/>
                <c:pt idx="0">
                  <c:v>2023</c:v>
                </c:pt>
                <c:pt idx="1">
                  <c:v>2024</c:v>
                </c:pt>
                <c:pt idx="2">
                  <c:v>2025</c:v>
                </c:pt>
                <c:pt idx="3">
                  <c:v>2026</c:v>
                </c:pt>
              </c:numCache>
            </c:numRef>
          </c:cat>
          <c:val>
            <c:numRef>
              <c:f>'Dashboard Data'!$E$41:$E$44</c:f>
              <c:numCache>
                <c:formatCode>#,##0.00</c:formatCode>
                <c:ptCount val="4"/>
                <c:pt idx="1">
                  <c:v>15.270596569687406</c:v>
                </c:pt>
                <c:pt idx="2">
                  <c:v>13.285363613778109</c:v>
                </c:pt>
                <c:pt idx="3">
                  <c:v>11.691637064057439</c:v>
                </c:pt>
              </c:numCache>
            </c:numRef>
          </c:val>
          <c:extLst>
            <c:ext xmlns:c16="http://schemas.microsoft.com/office/drawing/2014/chart" uri="{C3380CC4-5D6E-409C-BE32-E72D297353CC}">
              <c16:uniqueId val="{00000002-A9D9-4702-BB54-A6FB17F48A27}"/>
            </c:ext>
          </c:extLst>
        </c:ser>
        <c:ser>
          <c:idx val="3"/>
          <c:order val="3"/>
          <c:tx>
            <c:strRef>
              <c:f>'Dashboard Data'!$F$40</c:f>
              <c:strCache>
                <c:ptCount val="1"/>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'Dashboard Data'!$B$41:$B$44</c:f>
              <c:numCache>
                <c:formatCode>General</c:formatCode>
                <c:ptCount val="4"/>
                <c:pt idx="0">
                  <c:v>2023</c:v>
                </c:pt>
                <c:pt idx="1">
                  <c:v>2024</c:v>
                </c:pt>
                <c:pt idx="2">
                  <c:v>2025</c:v>
                </c:pt>
                <c:pt idx="3">
                  <c:v>2026</c:v>
                </c:pt>
              </c:numCache>
            </c:numRef>
          </c:cat>
          <c:val>
            <c:numRef>
              <c:f>'Dashboard Data'!$F$41:$F$44</c:f>
              <c:numCache>
                <c:formatCode>General</c:formatCode>
                <c:ptCount val="4"/>
              </c:numCache>
            </c:numRef>
          </c:val>
          <c:extLst>
            <c:ext xmlns:c16="http://schemas.microsoft.com/office/drawing/2014/chart" uri="{C3380CC4-5D6E-409C-BE32-E72D297353CC}">
              <c16:uniqueId val="{00000003-A9D9-4702-BB54-A6FB17F48A27}"/>
            </c:ext>
          </c:extLst>
        </c:ser>
        <c:dLbls>
          <c:dLblPos val="outEnd"/>
          <c:showLegendKey val="0"/>
          <c:showVal val="1"/>
          <c:showCatName val="0"/>
          <c:showSerName val="0"/>
          <c:showPercent val="0"/>
          <c:showBubbleSize val="0"/>
        </c:dLbls>
        <c:gapWidth val="0"/>
        <c:overlap val="-15"/>
        <c:axId val="930151584"/>
        <c:axId val="938696016"/>
      </c:barChart>
      <c:catAx>
        <c:axId val="930151584"/>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cap="none" spc="20" normalizeH="0" baseline="0">
                <a:solidFill>
                  <a:schemeClr val="bg2">
                    <a:lumMod val="50000"/>
                  </a:schemeClr>
                </a:solidFill>
                <a:latin typeface="+mn-lt"/>
                <a:ea typeface="+mn-ea"/>
                <a:cs typeface="+mn-cs"/>
              </a:defRPr>
            </a:pPr>
            <a:endParaRPr lang="en-US"/>
          </a:p>
        </c:txPr>
        <c:crossAx val="938696016"/>
        <c:crosses val="autoZero"/>
        <c:auto val="1"/>
        <c:lblAlgn val="ctr"/>
        <c:lblOffset val="100"/>
        <c:noMultiLvlLbl val="0"/>
      </c:catAx>
      <c:valAx>
        <c:axId val="938696016"/>
        <c:scaling>
          <c:orientation val="minMax"/>
        </c:scaling>
        <c:delete val="1"/>
        <c:axPos val="l"/>
        <c:numFmt formatCode="_(* #,##0.00_);_(* \(#,##0.00\);_(* &quot;-&quot;??_);_(@_)" sourceLinked="1"/>
        <c:majorTickMark val="none"/>
        <c:minorTickMark val="none"/>
        <c:tickLblPos val="nextTo"/>
        <c:crossAx val="9301515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800" b="0" i="0" u="none" strike="noStrike" kern="1200" cap="none" spc="50" normalizeH="0" baseline="0">
                <a:solidFill>
                  <a:srgbClr val="C00000"/>
                </a:solidFill>
                <a:latin typeface="+mj-lt"/>
                <a:ea typeface="+mj-ea"/>
                <a:cs typeface="+mj-cs"/>
              </a:defRPr>
            </a:pPr>
            <a:r>
              <a:rPr lang="en-US" sz="800" b="0" i="0" u="none" strike="noStrike" kern="1200" cap="none" spc="50" normalizeH="0" baseline="0">
                <a:solidFill>
                  <a:srgbClr val="C00000"/>
                </a:solidFill>
                <a:latin typeface="+mj-lt"/>
                <a:ea typeface="+mj-ea"/>
                <a:cs typeface="+mj-cs"/>
              </a:rPr>
              <a:t>Plastic Packaging (grm/DP)</a:t>
            </a:r>
          </a:p>
        </c:rich>
      </c:tx>
      <c:overlay val="0"/>
      <c:spPr>
        <a:solidFill>
          <a:srgbClr val="FFFFCC"/>
        </a:solidFill>
        <a:ln>
          <a:noFill/>
        </a:ln>
        <a:effectLst/>
      </c:spPr>
      <c:txPr>
        <a:bodyPr rot="0" spcFirstLastPara="1" vertOverflow="ellipsis" vert="horz" wrap="square" anchor="ctr" anchorCtr="1"/>
        <a:lstStyle/>
        <a:p>
          <a:pPr algn="ctr" rtl="0">
            <a:defRPr lang="en-US" sz="800" b="0" i="0" u="none" strike="noStrike" kern="1200" cap="none" spc="50" normalizeH="0" baseline="0">
              <a:solidFill>
                <a:srgbClr val="C00000"/>
              </a:solidFill>
              <a:latin typeface="+mj-lt"/>
              <a:ea typeface="+mj-ea"/>
              <a:cs typeface="+mj-cs"/>
            </a:defRPr>
          </a:pPr>
          <a:endParaRPr lang="en-US"/>
        </a:p>
      </c:txPr>
    </c:title>
    <c:autoTitleDeleted val="0"/>
    <c:plotArea>
      <c:layout/>
      <c:barChart>
        <c:barDir val="col"/>
        <c:grouping val="clustered"/>
        <c:varyColors val="0"/>
        <c:ser>
          <c:idx val="0"/>
          <c:order val="0"/>
          <c:tx>
            <c:strRef>
              <c:f>'Dashboard Data'!$C$73</c:f>
              <c:strCache>
                <c:ptCount val="1"/>
                <c:pt idx="0">
                  <c:v> Baseline </c:v>
                </c:pt>
              </c:strCache>
            </c:strRef>
          </c:tx>
          <c:spPr>
            <a:solidFill>
              <a:srgbClr val="CB003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'Dashboard Data'!$B$74:$B$77</c:f>
              <c:numCache>
                <c:formatCode>General</c:formatCode>
                <c:ptCount val="4"/>
                <c:pt idx="0">
                  <c:v>2023</c:v>
                </c:pt>
                <c:pt idx="1">
                  <c:v>2024</c:v>
                </c:pt>
                <c:pt idx="2">
                  <c:v>2025</c:v>
                </c:pt>
                <c:pt idx="3">
                  <c:v>2026</c:v>
                </c:pt>
              </c:numCache>
            </c:numRef>
          </c:cat>
          <c:val>
            <c:numRef>
              <c:f>'Dashboard Data'!$C$74:$C$77</c:f>
              <c:numCache>
                <c:formatCode>General</c:formatCode>
                <c:ptCount val="4"/>
                <c:pt idx="0" formatCode="_(* #,##0.00_);_(* \(#,##0.00\);_(* &quot;-&quot;??_);_(@_)">
                  <c:v>9.1338476217056837</c:v>
                </c:pt>
              </c:numCache>
            </c:numRef>
          </c:val>
          <c:extLst>
            <c:ext xmlns:c16="http://schemas.microsoft.com/office/drawing/2014/chart" uri="{C3380CC4-5D6E-409C-BE32-E72D297353CC}">
              <c16:uniqueId val="{00000000-7787-45CF-A44F-C1F8E4494713}"/>
            </c:ext>
          </c:extLst>
        </c:ser>
        <c:ser>
          <c:idx val="1"/>
          <c:order val="1"/>
          <c:tx>
            <c:strRef>
              <c:f>'Dashboard Data'!$D$73</c:f>
              <c:strCache>
                <c:ptCount val="1"/>
                <c:pt idx="0">
                  <c:v>Actual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'Dashboard Data'!$B$74:$B$77</c:f>
              <c:numCache>
                <c:formatCode>General</c:formatCode>
                <c:ptCount val="4"/>
                <c:pt idx="0">
                  <c:v>2023</c:v>
                </c:pt>
                <c:pt idx="1">
                  <c:v>2024</c:v>
                </c:pt>
                <c:pt idx="2">
                  <c:v>2025</c:v>
                </c:pt>
                <c:pt idx="3">
                  <c:v>2026</c:v>
                </c:pt>
              </c:numCache>
            </c:numRef>
          </c:cat>
          <c:val>
            <c:numRef>
              <c:f>'Dashboard Data'!$D$74:$D$77</c:f>
              <c:numCache>
                <c:formatCode>#,##0</c:formatCode>
                <c:ptCount val="4"/>
                <c:pt idx="1">
                  <c:v>0</c:v>
                </c:pt>
              </c:numCache>
            </c:numRef>
          </c:val>
          <c:extLst>
            <c:ext xmlns:c16="http://schemas.microsoft.com/office/drawing/2014/chart" uri="{C3380CC4-5D6E-409C-BE32-E72D297353CC}">
              <c16:uniqueId val="{00000001-7787-45CF-A44F-C1F8E4494713}"/>
            </c:ext>
          </c:extLst>
        </c:ser>
        <c:ser>
          <c:idx val="2"/>
          <c:order val="2"/>
          <c:tx>
            <c:strRef>
              <c:f>'Dashboard Data'!$E$73</c:f>
              <c:strCache>
                <c:ptCount val="1"/>
                <c:pt idx="0">
                  <c:v>Target</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'Dashboard Data'!$B$74:$B$77</c:f>
              <c:numCache>
                <c:formatCode>General</c:formatCode>
                <c:ptCount val="4"/>
                <c:pt idx="0">
                  <c:v>2023</c:v>
                </c:pt>
                <c:pt idx="1">
                  <c:v>2024</c:v>
                </c:pt>
                <c:pt idx="2">
                  <c:v>2025</c:v>
                </c:pt>
                <c:pt idx="3">
                  <c:v>2026</c:v>
                </c:pt>
              </c:numCache>
            </c:numRef>
          </c:cat>
          <c:val>
            <c:numRef>
              <c:f>'Dashboard Data'!$E$74:$E$77</c:f>
              <c:numCache>
                <c:formatCode>#,##0.00</c:formatCode>
                <c:ptCount val="4"/>
                <c:pt idx="1">
                  <c:v>7.2984916366155872</c:v>
                </c:pt>
                <c:pt idx="2">
                  <c:v>5.8387933092924698</c:v>
                </c:pt>
                <c:pt idx="3">
                  <c:v>4.668888032246735</c:v>
                </c:pt>
              </c:numCache>
            </c:numRef>
          </c:val>
          <c:extLst>
            <c:ext xmlns:c16="http://schemas.microsoft.com/office/drawing/2014/chart" uri="{C3380CC4-5D6E-409C-BE32-E72D297353CC}">
              <c16:uniqueId val="{00000002-7787-45CF-A44F-C1F8E4494713}"/>
            </c:ext>
          </c:extLst>
        </c:ser>
        <c:ser>
          <c:idx val="3"/>
          <c:order val="3"/>
          <c:tx>
            <c:strRef>
              <c:f>'Dashboard Data'!$F$73</c:f>
              <c:strCache>
                <c:ptCount val="1"/>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'Dashboard Data'!$B$74:$B$77</c:f>
              <c:numCache>
                <c:formatCode>General</c:formatCode>
                <c:ptCount val="4"/>
                <c:pt idx="0">
                  <c:v>2023</c:v>
                </c:pt>
                <c:pt idx="1">
                  <c:v>2024</c:v>
                </c:pt>
                <c:pt idx="2">
                  <c:v>2025</c:v>
                </c:pt>
                <c:pt idx="3">
                  <c:v>2026</c:v>
                </c:pt>
              </c:numCache>
            </c:numRef>
          </c:cat>
          <c:val>
            <c:numRef>
              <c:f>'Dashboard Data'!$F$74:$F$77</c:f>
              <c:numCache>
                <c:formatCode>General</c:formatCode>
                <c:ptCount val="4"/>
              </c:numCache>
            </c:numRef>
          </c:val>
          <c:extLst>
            <c:ext xmlns:c16="http://schemas.microsoft.com/office/drawing/2014/chart" uri="{C3380CC4-5D6E-409C-BE32-E72D297353CC}">
              <c16:uniqueId val="{00000003-7787-45CF-A44F-C1F8E4494713}"/>
            </c:ext>
          </c:extLst>
        </c:ser>
        <c:dLbls>
          <c:dLblPos val="outEnd"/>
          <c:showLegendKey val="0"/>
          <c:showVal val="1"/>
          <c:showCatName val="0"/>
          <c:showSerName val="0"/>
          <c:showPercent val="0"/>
          <c:showBubbleSize val="0"/>
        </c:dLbls>
        <c:gapWidth val="0"/>
        <c:overlap val="-27"/>
        <c:axId val="12867056"/>
        <c:axId val="438425232"/>
      </c:barChart>
      <c:catAx>
        <c:axId val="12867056"/>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cap="none" spc="20" normalizeH="0" baseline="0">
                <a:solidFill>
                  <a:schemeClr val="bg2">
                    <a:lumMod val="50000"/>
                  </a:schemeClr>
                </a:solidFill>
                <a:latin typeface="+mn-lt"/>
                <a:ea typeface="+mn-ea"/>
                <a:cs typeface="+mn-cs"/>
              </a:defRPr>
            </a:pPr>
            <a:endParaRPr lang="en-US"/>
          </a:p>
        </c:txPr>
        <c:crossAx val="438425232"/>
        <c:crosses val="autoZero"/>
        <c:auto val="1"/>
        <c:lblAlgn val="ctr"/>
        <c:lblOffset val="100"/>
        <c:noMultiLvlLbl val="0"/>
      </c:catAx>
      <c:valAx>
        <c:axId val="438425232"/>
        <c:scaling>
          <c:orientation val="minMax"/>
        </c:scaling>
        <c:delete val="1"/>
        <c:axPos val="l"/>
        <c:numFmt formatCode="_(* #,##0.00_);_(* \(#,##0.00\);_(* &quot;-&quot;??_);_(@_)" sourceLinked="1"/>
        <c:majorTickMark val="none"/>
        <c:minorTickMark val="none"/>
        <c:tickLblPos val="nextTo"/>
        <c:crossAx val="12867056"/>
        <c:crosses val="autoZero"/>
        <c:crossBetween val="between"/>
      </c:valAx>
      <c:spPr>
        <a:noFill/>
        <a:ln>
          <a:noFill/>
        </a:ln>
        <a:effectLst/>
      </c:spPr>
    </c:plotArea>
    <c:legend>
      <c:legendPos val="b"/>
      <c:legendEntry>
        <c:idx val="3"/>
        <c:txPr>
          <a:bodyPr rot="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800" b="0" i="0" u="none" strike="noStrike" kern="1200" cap="none" spc="50" normalizeH="0" baseline="0">
                <a:solidFill>
                  <a:srgbClr val="C00000"/>
                </a:solidFill>
                <a:latin typeface="+mj-lt"/>
                <a:ea typeface="+mj-ea"/>
                <a:cs typeface="+mj-cs"/>
              </a:defRPr>
            </a:pPr>
            <a:r>
              <a:rPr lang="en-US" sz="800" b="0" i="0" u="none" strike="noStrike" kern="1200" cap="none" spc="50" normalizeH="0" baseline="0">
                <a:solidFill>
                  <a:srgbClr val="C00000"/>
                </a:solidFill>
                <a:latin typeface="+mj-lt"/>
                <a:ea typeface="+mj-ea"/>
                <a:cs typeface="+mj-cs"/>
              </a:rPr>
              <a:t>Waste (Kg/DP)</a:t>
            </a:r>
          </a:p>
        </c:rich>
      </c:tx>
      <c:layout>
        <c:manualLayout>
          <c:xMode val="edge"/>
          <c:yMode val="edge"/>
          <c:x val="0.37600462104399107"/>
          <c:y val="5.3333370662026709E-2"/>
        </c:manualLayout>
      </c:layout>
      <c:overlay val="0"/>
      <c:spPr>
        <a:solidFill>
          <a:srgbClr val="FFFFCC"/>
        </a:solidFill>
        <a:ln>
          <a:noFill/>
        </a:ln>
        <a:effectLst/>
      </c:spPr>
      <c:txPr>
        <a:bodyPr rot="0" spcFirstLastPara="1" vertOverflow="ellipsis" vert="horz" wrap="square" anchor="ctr" anchorCtr="1"/>
        <a:lstStyle/>
        <a:p>
          <a:pPr algn="ctr" rtl="0">
            <a:defRPr lang="en-US" sz="800" b="0" i="0" u="none" strike="noStrike" kern="1200" cap="none" spc="50" normalizeH="0" baseline="0">
              <a:solidFill>
                <a:srgbClr val="C00000"/>
              </a:solidFill>
              <a:latin typeface="+mj-lt"/>
              <a:ea typeface="+mj-ea"/>
              <a:cs typeface="+mj-cs"/>
            </a:defRPr>
          </a:pPr>
          <a:endParaRPr lang="en-US"/>
        </a:p>
      </c:txPr>
    </c:title>
    <c:autoTitleDeleted val="0"/>
    <c:plotArea>
      <c:layout/>
      <c:barChart>
        <c:barDir val="col"/>
        <c:grouping val="clustered"/>
        <c:varyColors val="0"/>
        <c:ser>
          <c:idx val="0"/>
          <c:order val="0"/>
          <c:tx>
            <c:strRef>
              <c:f>'Dashboard Data'!$C$116</c:f>
              <c:strCache>
                <c:ptCount val="1"/>
                <c:pt idx="0">
                  <c:v> Baseline </c:v>
                </c:pt>
              </c:strCache>
            </c:strRef>
          </c:tx>
          <c:spPr>
            <a:solidFill>
              <a:srgbClr val="CB003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 Data'!$B$117:$B$120</c:f>
              <c:numCache>
                <c:formatCode>General</c:formatCode>
                <c:ptCount val="4"/>
                <c:pt idx="0">
                  <c:v>2023</c:v>
                </c:pt>
                <c:pt idx="1">
                  <c:v>2024</c:v>
                </c:pt>
                <c:pt idx="2">
                  <c:v>2025</c:v>
                </c:pt>
                <c:pt idx="3">
                  <c:v>2026</c:v>
                </c:pt>
              </c:numCache>
            </c:numRef>
          </c:cat>
          <c:val>
            <c:numRef>
              <c:f>'Dashboard Data'!$C$117:$C$120</c:f>
              <c:numCache>
                <c:formatCode>General</c:formatCode>
                <c:ptCount val="4"/>
                <c:pt idx="0" formatCode="_(* #,##0.000_);_(* \(#,##0.000\);_(* &quot;-&quot;??_);_(@_)">
                  <c:v>0.27342772614132427</c:v>
                </c:pt>
              </c:numCache>
            </c:numRef>
          </c:val>
          <c:extLst>
            <c:ext xmlns:c16="http://schemas.microsoft.com/office/drawing/2014/chart" uri="{C3380CC4-5D6E-409C-BE32-E72D297353CC}">
              <c16:uniqueId val="{00000000-AD4D-4139-B711-5AFBC57E4864}"/>
            </c:ext>
          </c:extLst>
        </c:ser>
        <c:ser>
          <c:idx val="1"/>
          <c:order val="1"/>
          <c:tx>
            <c:strRef>
              <c:f>'Dashboard Data'!$D$116</c:f>
              <c:strCache>
                <c:ptCount val="1"/>
                <c:pt idx="0">
                  <c:v>Actual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 Data'!$B$117:$B$120</c:f>
              <c:numCache>
                <c:formatCode>General</c:formatCode>
                <c:ptCount val="4"/>
                <c:pt idx="0">
                  <c:v>2023</c:v>
                </c:pt>
                <c:pt idx="1">
                  <c:v>2024</c:v>
                </c:pt>
                <c:pt idx="2">
                  <c:v>2025</c:v>
                </c:pt>
                <c:pt idx="3">
                  <c:v>2026</c:v>
                </c:pt>
              </c:numCache>
            </c:numRef>
          </c:cat>
          <c:val>
            <c:numRef>
              <c:f>'Dashboard Data'!$D$117:$D$120</c:f>
              <c:numCache>
                <c:formatCode>#,##0</c:formatCode>
                <c:ptCount val="4"/>
                <c:pt idx="1">
                  <c:v>0.26029800416028576</c:v>
                </c:pt>
              </c:numCache>
            </c:numRef>
          </c:val>
          <c:extLst>
            <c:ext xmlns:c16="http://schemas.microsoft.com/office/drawing/2014/chart" uri="{C3380CC4-5D6E-409C-BE32-E72D297353CC}">
              <c16:uniqueId val="{00000001-AD4D-4139-B711-5AFBC57E4864}"/>
            </c:ext>
          </c:extLst>
        </c:ser>
        <c:ser>
          <c:idx val="2"/>
          <c:order val="2"/>
          <c:tx>
            <c:strRef>
              <c:f>'Dashboard Data'!$E$116</c:f>
              <c:strCache>
                <c:ptCount val="1"/>
                <c:pt idx="0">
                  <c:v>Target</c:v>
                </c:pt>
              </c:strCache>
            </c:strRef>
          </c:tx>
          <c:spPr>
            <a:solidFill>
              <a:schemeClr val="accent1">
                <a:lumMod val="40000"/>
                <a:lumOff val="60000"/>
              </a:schemeClr>
            </a:solidFill>
            <a:ln>
              <a:noFill/>
            </a:ln>
            <a:effectLst/>
          </c:spPr>
          <c:invertIfNegative val="0"/>
          <c:dLbls>
            <c:dLbl>
              <c:idx val="2"/>
              <c:layout>
                <c:manualLayout>
                  <c:x val="4.8780487804877946E-2"/>
                  <c:y val="-8.888895110337784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D4D-4139-B711-5AFBC57E4864}"/>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 Data'!$B$117:$B$120</c:f>
              <c:numCache>
                <c:formatCode>General</c:formatCode>
                <c:ptCount val="4"/>
                <c:pt idx="0">
                  <c:v>2023</c:v>
                </c:pt>
                <c:pt idx="1">
                  <c:v>2024</c:v>
                </c:pt>
                <c:pt idx="2">
                  <c:v>2025</c:v>
                </c:pt>
                <c:pt idx="3">
                  <c:v>2026</c:v>
                </c:pt>
              </c:numCache>
            </c:numRef>
          </c:cat>
          <c:val>
            <c:numRef>
              <c:f>'Dashboard Data'!$E$117:$E$120</c:f>
              <c:numCache>
                <c:formatCode>#,##0.000</c:formatCode>
                <c:ptCount val="4"/>
                <c:pt idx="1">
                  <c:v>0.24056945862219514</c:v>
                </c:pt>
                <c:pt idx="2">
                  <c:v>0.21123171976582988</c:v>
                </c:pt>
                <c:pt idx="3">
                  <c:v>0.18658801912648307</c:v>
                </c:pt>
              </c:numCache>
            </c:numRef>
          </c:val>
          <c:extLst>
            <c:ext xmlns:c16="http://schemas.microsoft.com/office/drawing/2014/chart" uri="{C3380CC4-5D6E-409C-BE32-E72D297353CC}">
              <c16:uniqueId val="{00000002-AD4D-4139-B711-5AFBC57E4864}"/>
            </c:ext>
          </c:extLst>
        </c:ser>
        <c:dLbls>
          <c:dLblPos val="outEnd"/>
          <c:showLegendKey val="0"/>
          <c:showVal val="1"/>
          <c:showCatName val="0"/>
          <c:showSerName val="0"/>
          <c:showPercent val="0"/>
          <c:showBubbleSize val="0"/>
        </c:dLbls>
        <c:gapWidth val="219"/>
        <c:overlap val="-27"/>
        <c:axId val="34496832"/>
        <c:axId val="938692176"/>
        <c:extLst>
          <c:ext xmlns:c15="http://schemas.microsoft.com/office/drawing/2012/chart" uri="{02D57815-91ED-43cb-92C2-25804820EDAC}">
            <c15:filteredBarSeries>
              <c15:ser>
                <c:idx val="3"/>
                <c:order val="3"/>
                <c:tx>
                  <c:strRef>
                    <c:extLst>
                      <c:ext uri="{02D57815-91ED-43cb-92C2-25804820EDAC}">
                        <c15:formulaRef>
                          <c15:sqref>'Dashboard Data'!$F$116</c15:sqref>
                        </c15:formulaRef>
                      </c:ext>
                    </c:extLst>
                    <c:strCache>
                      <c:ptCount val="1"/>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'Dashboard Data'!$B$117:$B$120</c15:sqref>
                        </c15:formulaRef>
                      </c:ext>
                    </c:extLst>
                    <c:numCache>
                      <c:formatCode>General</c:formatCode>
                      <c:ptCount val="4"/>
                      <c:pt idx="0">
                        <c:v>2023</c:v>
                      </c:pt>
                      <c:pt idx="1">
                        <c:v>2024</c:v>
                      </c:pt>
                      <c:pt idx="2">
                        <c:v>2025</c:v>
                      </c:pt>
                      <c:pt idx="3">
                        <c:v>2026</c:v>
                      </c:pt>
                    </c:numCache>
                  </c:numRef>
                </c:cat>
                <c:val>
                  <c:numRef>
                    <c:extLst>
                      <c:ext uri="{02D57815-91ED-43cb-92C2-25804820EDAC}">
                        <c15:formulaRef>
                          <c15:sqref>'Dashboard Data'!$F$117:$F$120</c15:sqref>
                        </c15:formulaRef>
                      </c:ext>
                    </c:extLst>
                    <c:numCache>
                      <c:formatCode>General</c:formatCode>
                      <c:ptCount val="4"/>
                    </c:numCache>
                  </c:numRef>
                </c:val>
                <c:extLst>
                  <c:ext xmlns:c16="http://schemas.microsoft.com/office/drawing/2014/chart" uri="{C3380CC4-5D6E-409C-BE32-E72D297353CC}">
                    <c16:uniqueId val="{00000003-AD4D-4139-B711-5AFBC57E4864}"/>
                  </c:ext>
                </c:extLst>
              </c15:ser>
            </c15:filteredBarSeries>
          </c:ext>
        </c:extLst>
      </c:barChart>
      <c:catAx>
        <c:axId val="34496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2">
                    <a:lumMod val="50000"/>
                  </a:schemeClr>
                </a:solidFill>
                <a:latin typeface="+mn-lt"/>
                <a:ea typeface="+mn-ea"/>
                <a:cs typeface="+mn-cs"/>
              </a:defRPr>
            </a:pPr>
            <a:endParaRPr lang="en-US"/>
          </a:p>
        </c:txPr>
        <c:crossAx val="938692176"/>
        <c:crosses val="autoZero"/>
        <c:auto val="1"/>
        <c:lblAlgn val="ctr"/>
        <c:lblOffset val="100"/>
        <c:noMultiLvlLbl val="0"/>
      </c:catAx>
      <c:valAx>
        <c:axId val="938692176"/>
        <c:scaling>
          <c:orientation val="minMax"/>
        </c:scaling>
        <c:delete val="1"/>
        <c:axPos val="l"/>
        <c:numFmt formatCode="_(* #,##0.000_);_(* \(#,##0.000\);_(* &quot;-&quot;??_);_(@_)" sourceLinked="1"/>
        <c:majorTickMark val="none"/>
        <c:minorTickMark val="none"/>
        <c:tickLblPos val="nextTo"/>
        <c:crossAx val="34496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800" b="0" i="0" u="none" strike="noStrike" kern="1200" cap="none" spc="50" normalizeH="0" baseline="0">
                <a:solidFill>
                  <a:srgbClr val="C00000"/>
                </a:solidFill>
                <a:latin typeface="+mj-lt"/>
                <a:ea typeface="+mj-ea"/>
                <a:cs typeface="+mj-cs"/>
              </a:defRPr>
            </a:pPr>
            <a:r>
              <a:rPr lang="en-US" sz="800" b="0" i="0" u="none" strike="noStrike" kern="1200" cap="none" spc="50" normalizeH="0" baseline="0">
                <a:solidFill>
                  <a:srgbClr val="C00000"/>
                </a:solidFill>
                <a:latin typeface="+mj-lt"/>
                <a:ea typeface="+mj-ea"/>
                <a:cs typeface="+mj-cs"/>
              </a:rPr>
              <a:t>Food wastage (KG/Employee)</a:t>
            </a:r>
          </a:p>
        </c:rich>
      </c:tx>
      <c:layout>
        <c:manualLayout>
          <c:xMode val="edge"/>
          <c:yMode val="edge"/>
          <c:x val="0.19396494792989585"/>
          <c:y val="7.252440725244072E-2"/>
        </c:manualLayout>
      </c:layout>
      <c:overlay val="0"/>
      <c:spPr>
        <a:solidFill>
          <a:srgbClr val="FFFFCC"/>
        </a:solidFill>
        <a:ln>
          <a:noFill/>
        </a:ln>
        <a:effectLst/>
      </c:spPr>
      <c:txPr>
        <a:bodyPr rot="0" spcFirstLastPara="1" vertOverflow="ellipsis" vert="horz" wrap="square" anchor="ctr" anchorCtr="1"/>
        <a:lstStyle/>
        <a:p>
          <a:pPr algn="ctr" rtl="0">
            <a:defRPr lang="en-US" sz="800" b="0" i="0" u="none" strike="noStrike" kern="1200" cap="none" spc="50" normalizeH="0" baseline="0">
              <a:solidFill>
                <a:srgbClr val="C00000"/>
              </a:solidFill>
              <a:latin typeface="+mj-lt"/>
              <a:ea typeface="+mj-ea"/>
              <a:cs typeface="+mj-cs"/>
            </a:defRPr>
          </a:pPr>
          <a:endParaRPr lang="en-US"/>
        </a:p>
      </c:txPr>
    </c:title>
    <c:autoTitleDeleted val="0"/>
    <c:plotArea>
      <c:layout/>
      <c:barChart>
        <c:barDir val="col"/>
        <c:grouping val="clustered"/>
        <c:varyColors val="0"/>
        <c:ser>
          <c:idx val="0"/>
          <c:order val="0"/>
          <c:tx>
            <c:strRef>
              <c:f>'Dashboard Data'!$C$128</c:f>
              <c:strCache>
                <c:ptCount val="1"/>
                <c:pt idx="0">
                  <c:v> Baseline </c:v>
                </c:pt>
              </c:strCache>
            </c:strRef>
          </c:tx>
          <c:spPr>
            <a:solidFill>
              <a:srgbClr val="CB003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 Data'!$B$129:$B$132</c:f>
              <c:numCache>
                <c:formatCode>General</c:formatCode>
                <c:ptCount val="4"/>
                <c:pt idx="0">
                  <c:v>2023</c:v>
                </c:pt>
                <c:pt idx="1">
                  <c:v>2024</c:v>
                </c:pt>
                <c:pt idx="2">
                  <c:v>2025</c:v>
                </c:pt>
                <c:pt idx="3">
                  <c:v>2026</c:v>
                </c:pt>
              </c:numCache>
            </c:numRef>
          </c:cat>
          <c:val>
            <c:numRef>
              <c:f>'Dashboard Data'!$C$129:$C$132</c:f>
              <c:numCache>
                <c:formatCode>General</c:formatCode>
                <c:ptCount val="4"/>
                <c:pt idx="0" formatCode="_(* #,##0.000_);_(* \(#,##0.000\);_(* &quot;-&quot;??_);_(@_)">
                  <c:v>4.3476368159203984</c:v>
                </c:pt>
              </c:numCache>
            </c:numRef>
          </c:val>
          <c:extLst>
            <c:ext xmlns:c16="http://schemas.microsoft.com/office/drawing/2014/chart" uri="{C3380CC4-5D6E-409C-BE32-E72D297353CC}">
              <c16:uniqueId val="{00000000-92F2-42F4-9004-3FDB17BAF82A}"/>
            </c:ext>
          </c:extLst>
        </c:ser>
        <c:ser>
          <c:idx val="1"/>
          <c:order val="1"/>
          <c:tx>
            <c:strRef>
              <c:f>'Dashboard Data'!$D$128</c:f>
              <c:strCache>
                <c:ptCount val="1"/>
                <c:pt idx="0">
                  <c:v>Actual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 Data'!$B$129:$B$132</c:f>
              <c:numCache>
                <c:formatCode>General</c:formatCode>
                <c:ptCount val="4"/>
                <c:pt idx="0">
                  <c:v>2023</c:v>
                </c:pt>
                <c:pt idx="1">
                  <c:v>2024</c:v>
                </c:pt>
                <c:pt idx="2">
                  <c:v>2025</c:v>
                </c:pt>
                <c:pt idx="3">
                  <c:v>2026</c:v>
                </c:pt>
              </c:numCache>
            </c:numRef>
          </c:cat>
          <c:val>
            <c:numRef>
              <c:f>'Dashboard Data'!$D$129:$D$132</c:f>
              <c:numCache>
                <c:formatCode>#,##0</c:formatCode>
                <c:ptCount val="4"/>
                <c:pt idx="1">
                  <c:v>0</c:v>
                </c:pt>
              </c:numCache>
            </c:numRef>
          </c:val>
          <c:extLst>
            <c:ext xmlns:c16="http://schemas.microsoft.com/office/drawing/2014/chart" uri="{C3380CC4-5D6E-409C-BE32-E72D297353CC}">
              <c16:uniqueId val="{00000001-92F2-42F4-9004-3FDB17BAF82A}"/>
            </c:ext>
          </c:extLst>
        </c:ser>
        <c:ser>
          <c:idx val="2"/>
          <c:order val="2"/>
          <c:tx>
            <c:strRef>
              <c:f>'Dashboard Data'!$E$128</c:f>
              <c:strCache>
                <c:ptCount val="1"/>
                <c:pt idx="0">
                  <c:v>Target</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 Data'!$B$129:$B$132</c:f>
              <c:numCache>
                <c:formatCode>General</c:formatCode>
                <c:ptCount val="4"/>
                <c:pt idx="0">
                  <c:v>2023</c:v>
                </c:pt>
                <c:pt idx="1">
                  <c:v>2024</c:v>
                </c:pt>
                <c:pt idx="2">
                  <c:v>2025</c:v>
                </c:pt>
                <c:pt idx="3">
                  <c:v>2026</c:v>
                </c:pt>
              </c:numCache>
            </c:numRef>
          </c:cat>
          <c:val>
            <c:numRef>
              <c:f>'Dashboard Data'!$E$129:$E$132</c:f>
              <c:numCache>
                <c:formatCode>#,##0.000</c:formatCode>
                <c:ptCount val="4"/>
                <c:pt idx="1">
                  <c:v>3.8041822139303481</c:v>
                </c:pt>
                <c:pt idx="2">
                  <c:v>3.5324549129353233</c:v>
                </c:pt>
                <c:pt idx="3">
                  <c:v>3.1248639614427858</c:v>
                </c:pt>
              </c:numCache>
            </c:numRef>
          </c:val>
          <c:extLst>
            <c:ext xmlns:c16="http://schemas.microsoft.com/office/drawing/2014/chart" uri="{C3380CC4-5D6E-409C-BE32-E72D297353CC}">
              <c16:uniqueId val="{00000002-92F2-42F4-9004-3FDB17BAF82A}"/>
            </c:ext>
          </c:extLst>
        </c:ser>
        <c:dLbls>
          <c:dLblPos val="outEnd"/>
          <c:showLegendKey val="0"/>
          <c:showVal val="1"/>
          <c:showCatName val="0"/>
          <c:showSerName val="0"/>
          <c:showPercent val="0"/>
          <c:showBubbleSize val="0"/>
        </c:dLbls>
        <c:gapWidth val="219"/>
        <c:overlap val="-27"/>
        <c:axId val="447649760"/>
        <c:axId val="1493230672"/>
      </c:barChart>
      <c:catAx>
        <c:axId val="447649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2">
                    <a:lumMod val="50000"/>
                  </a:schemeClr>
                </a:solidFill>
                <a:latin typeface="+mn-lt"/>
                <a:ea typeface="+mn-ea"/>
                <a:cs typeface="+mn-cs"/>
              </a:defRPr>
            </a:pPr>
            <a:endParaRPr lang="en-US"/>
          </a:p>
        </c:txPr>
        <c:crossAx val="1493230672"/>
        <c:crosses val="autoZero"/>
        <c:auto val="1"/>
        <c:lblAlgn val="ctr"/>
        <c:lblOffset val="100"/>
        <c:noMultiLvlLbl val="0"/>
      </c:catAx>
      <c:valAx>
        <c:axId val="1493230672"/>
        <c:scaling>
          <c:orientation val="minMax"/>
        </c:scaling>
        <c:delete val="1"/>
        <c:axPos val="l"/>
        <c:numFmt formatCode="_(* #,##0.000_);_(* \(#,##0.000\);_(* &quot;-&quot;??_);_(@_)" sourceLinked="1"/>
        <c:majorTickMark val="none"/>
        <c:minorTickMark val="none"/>
        <c:tickLblPos val="nextTo"/>
        <c:crossAx val="447649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800" b="0" i="0" u="none" strike="noStrike" kern="1200" cap="none" spc="50" normalizeH="0" baseline="0">
                <a:solidFill>
                  <a:srgbClr val="C00000"/>
                </a:solidFill>
                <a:latin typeface="+mj-lt"/>
                <a:ea typeface="+mj-ea"/>
                <a:cs typeface="+mj-cs"/>
              </a:defRPr>
            </a:pPr>
            <a:r>
              <a:rPr lang="en-US" sz="800" b="0" i="0" u="none" strike="noStrike" kern="1200" cap="none" spc="50" normalizeH="0" baseline="0">
                <a:solidFill>
                  <a:srgbClr val="C00000"/>
                </a:solidFill>
                <a:latin typeface="+mj-lt"/>
                <a:ea typeface="+mj-ea"/>
                <a:cs typeface="+mj-cs"/>
              </a:rPr>
              <a:t>Scope 3 Reduction </a:t>
            </a:r>
          </a:p>
          <a:p>
            <a:pPr algn="ctr" rtl="0">
              <a:defRPr lang="en-US" sz="800">
                <a:solidFill>
                  <a:srgbClr val="C00000"/>
                </a:solidFill>
              </a:defRPr>
            </a:pPr>
            <a:r>
              <a:rPr lang="en-US" sz="800" b="0" i="0" u="none" strike="noStrike" kern="1200" cap="none" spc="50" normalizeH="0" baseline="0">
                <a:solidFill>
                  <a:srgbClr val="C00000"/>
                </a:solidFill>
                <a:latin typeface="+mj-lt"/>
                <a:ea typeface="+mj-ea"/>
                <a:cs typeface="+mj-cs"/>
              </a:rPr>
              <a:t>(Tons CO2 / DP)</a:t>
            </a:r>
          </a:p>
        </c:rich>
      </c:tx>
      <c:overlay val="0"/>
      <c:spPr>
        <a:solidFill>
          <a:srgbClr val="FFFFCC"/>
        </a:solidFill>
        <a:ln>
          <a:noFill/>
        </a:ln>
        <a:effectLst/>
      </c:spPr>
      <c:txPr>
        <a:bodyPr rot="0" spcFirstLastPara="1" vertOverflow="ellipsis" vert="horz" wrap="square" anchor="ctr" anchorCtr="1"/>
        <a:lstStyle/>
        <a:p>
          <a:pPr algn="ctr" rtl="0">
            <a:defRPr lang="en-US" sz="800" b="0" i="0" u="none" strike="noStrike" kern="1200" cap="none" spc="50" normalizeH="0" baseline="0">
              <a:solidFill>
                <a:srgbClr val="C00000"/>
              </a:solidFill>
              <a:latin typeface="+mj-lt"/>
              <a:ea typeface="+mj-ea"/>
              <a:cs typeface="+mj-cs"/>
            </a:defRPr>
          </a:pPr>
          <a:endParaRPr lang="en-US"/>
        </a:p>
      </c:txPr>
    </c:title>
    <c:autoTitleDeleted val="0"/>
    <c:plotArea>
      <c:layout/>
      <c:barChart>
        <c:barDir val="col"/>
        <c:grouping val="clustered"/>
        <c:varyColors val="0"/>
        <c:ser>
          <c:idx val="0"/>
          <c:order val="0"/>
          <c:tx>
            <c:strRef>
              <c:f>'Dashboard Data'!$C$51</c:f>
              <c:strCache>
                <c:ptCount val="1"/>
                <c:pt idx="0">
                  <c:v>Actual</c:v>
                </c:pt>
              </c:strCache>
            </c:strRef>
          </c:tx>
          <c:spPr>
            <a:solidFill>
              <a:schemeClr val="accent1">
                <a:alpha val="70000"/>
              </a:schemeClr>
            </a:solidFill>
            <a:ln>
              <a:noFill/>
            </a:ln>
            <a:effectLst/>
          </c:spPr>
          <c:invertIfNegative val="0"/>
          <c:dLbls>
            <c:dLbl>
              <c:idx val="2"/>
              <c:layout>
                <c:manualLayout>
                  <c:x val="-6.5681478960722475E-2"/>
                  <c:y val="-3.115264797507790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252-4E4B-9A83-DF705E128A58}"/>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'Dashboard Data'!$B$52:$B$54</c:f>
              <c:numCache>
                <c:formatCode>General</c:formatCode>
                <c:ptCount val="3"/>
                <c:pt idx="0">
                  <c:v>2024</c:v>
                </c:pt>
                <c:pt idx="1">
                  <c:v>2025</c:v>
                </c:pt>
                <c:pt idx="2">
                  <c:v>2026</c:v>
                </c:pt>
              </c:numCache>
            </c:numRef>
          </c:cat>
          <c:val>
            <c:numRef>
              <c:f>'Dashboard Data'!$C$52:$C$54</c:f>
              <c:numCache>
                <c:formatCode>#,##0.000</c:formatCode>
                <c:ptCount val="3"/>
                <c:pt idx="0">
                  <c:v>0</c:v>
                </c:pt>
              </c:numCache>
            </c:numRef>
          </c:val>
          <c:extLst>
            <c:ext xmlns:c16="http://schemas.microsoft.com/office/drawing/2014/chart" uri="{C3380CC4-5D6E-409C-BE32-E72D297353CC}">
              <c16:uniqueId val="{00000000-F252-4E4B-9A83-DF705E128A58}"/>
            </c:ext>
          </c:extLst>
        </c:ser>
        <c:ser>
          <c:idx val="1"/>
          <c:order val="1"/>
          <c:tx>
            <c:strRef>
              <c:f>'Dashboard Data'!$D$51</c:f>
              <c:strCache>
                <c:ptCount val="1"/>
                <c:pt idx="0">
                  <c:v>Target</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'Dashboard Data'!$B$52:$B$54</c:f>
              <c:numCache>
                <c:formatCode>General</c:formatCode>
                <c:ptCount val="3"/>
                <c:pt idx="0">
                  <c:v>2024</c:v>
                </c:pt>
                <c:pt idx="1">
                  <c:v>2025</c:v>
                </c:pt>
                <c:pt idx="2">
                  <c:v>2026</c:v>
                </c:pt>
              </c:numCache>
            </c:numRef>
          </c:cat>
          <c:val>
            <c:numRef>
              <c:f>'Dashboard Data'!$D$52:$D$54</c:f>
              <c:numCache>
                <c:formatCode>#,##0.000</c:formatCode>
                <c:ptCount val="3"/>
                <c:pt idx="0">
                  <c:v>8.0000000000000002E-3</c:v>
                </c:pt>
                <c:pt idx="1">
                  <c:v>8.0000000000000002E-3</c:v>
                </c:pt>
                <c:pt idx="2">
                  <c:v>1.6E-2</c:v>
                </c:pt>
              </c:numCache>
            </c:numRef>
          </c:val>
          <c:extLst>
            <c:ext xmlns:c16="http://schemas.microsoft.com/office/drawing/2014/chart" uri="{C3380CC4-5D6E-409C-BE32-E72D297353CC}">
              <c16:uniqueId val="{00000001-F252-4E4B-9A83-DF705E128A58}"/>
            </c:ext>
          </c:extLst>
        </c:ser>
        <c:dLbls>
          <c:dLblPos val="outEnd"/>
          <c:showLegendKey val="0"/>
          <c:showVal val="1"/>
          <c:showCatName val="0"/>
          <c:showSerName val="0"/>
          <c:showPercent val="0"/>
          <c:showBubbleSize val="0"/>
        </c:dLbls>
        <c:gapWidth val="105"/>
        <c:overlap val="-14"/>
        <c:axId val="963548448"/>
        <c:axId val="938704176"/>
      </c:barChart>
      <c:catAx>
        <c:axId val="963548448"/>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cap="none" spc="20" normalizeH="0" baseline="0">
                <a:solidFill>
                  <a:schemeClr val="bg2">
                    <a:lumMod val="50000"/>
                  </a:schemeClr>
                </a:solidFill>
                <a:latin typeface="+mn-lt"/>
                <a:ea typeface="+mn-ea"/>
                <a:cs typeface="+mn-cs"/>
              </a:defRPr>
            </a:pPr>
            <a:endParaRPr lang="en-US"/>
          </a:p>
        </c:txPr>
        <c:crossAx val="938704176"/>
        <c:crosses val="autoZero"/>
        <c:auto val="1"/>
        <c:lblAlgn val="ctr"/>
        <c:lblOffset val="100"/>
        <c:noMultiLvlLbl val="0"/>
      </c:catAx>
      <c:valAx>
        <c:axId val="938704176"/>
        <c:scaling>
          <c:orientation val="minMax"/>
        </c:scaling>
        <c:delete val="1"/>
        <c:axPos val="l"/>
        <c:numFmt formatCode="#,##0.000" sourceLinked="1"/>
        <c:majorTickMark val="none"/>
        <c:minorTickMark val="none"/>
        <c:tickLblPos val="nextTo"/>
        <c:crossAx val="963548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r>
              <a:rPr lang="en-US" sz="1200"/>
              <a:t>ELECTRICITY (KWH/DP)</a:t>
            </a:r>
          </a:p>
        </c:rich>
      </c:tx>
      <c:overlay val="0"/>
      <c:spPr>
        <a:noFill/>
        <a:ln>
          <a:noFill/>
        </a:ln>
        <a:effectLst/>
      </c:spPr>
      <c:txPr>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barChart>
        <c:barDir val="col"/>
        <c:grouping val="clustered"/>
        <c:varyColors val="0"/>
        <c:ser>
          <c:idx val="0"/>
          <c:order val="0"/>
          <c:tx>
            <c:strRef>
              <c:f>'Dashboard Data'!$C$7</c:f>
              <c:strCache>
                <c:ptCount val="1"/>
                <c:pt idx="0">
                  <c:v> Baseline </c:v>
                </c:pt>
              </c:strCache>
            </c:strRef>
          </c:tx>
          <c:spPr>
            <a:solidFill>
              <a:schemeClr val="accent1">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'Dashboard Data'!$B$8:$B$11</c:f>
              <c:numCache>
                <c:formatCode>General</c:formatCode>
                <c:ptCount val="4"/>
                <c:pt idx="0">
                  <c:v>2023</c:v>
                </c:pt>
                <c:pt idx="1">
                  <c:v>2024</c:v>
                </c:pt>
                <c:pt idx="2">
                  <c:v>2025</c:v>
                </c:pt>
                <c:pt idx="3">
                  <c:v>2026</c:v>
                </c:pt>
              </c:numCache>
            </c:numRef>
          </c:cat>
          <c:val>
            <c:numRef>
              <c:f>'Dashboard Data'!$C$8:$C$11</c:f>
              <c:numCache>
                <c:formatCode>General</c:formatCode>
                <c:ptCount val="4"/>
                <c:pt idx="0" formatCode="_(* #,##0.00_);_(* \(#,##0.00\);_(* &quot;-&quot;??_);_(@_)">
                  <c:v>1.608672914196309</c:v>
                </c:pt>
              </c:numCache>
            </c:numRef>
          </c:val>
          <c:extLst>
            <c:ext xmlns:c16="http://schemas.microsoft.com/office/drawing/2014/chart" uri="{C3380CC4-5D6E-409C-BE32-E72D297353CC}">
              <c16:uniqueId val="{00000000-9D2D-46D9-9858-55232B713121}"/>
            </c:ext>
          </c:extLst>
        </c:ser>
        <c:ser>
          <c:idx val="1"/>
          <c:order val="1"/>
          <c:tx>
            <c:strRef>
              <c:f>'Dashboard Data'!$D$7</c:f>
              <c:strCache>
                <c:ptCount val="1"/>
                <c:pt idx="0">
                  <c:v>Actual</c:v>
                </c:pt>
              </c:strCache>
            </c:strRef>
          </c:tx>
          <c:spPr>
            <a:solidFill>
              <a:schemeClr val="accent2">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'Dashboard Data'!$B$8:$B$11</c:f>
              <c:numCache>
                <c:formatCode>General</c:formatCode>
                <c:ptCount val="4"/>
                <c:pt idx="0">
                  <c:v>2023</c:v>
                </c:pt>
                <c:pt idx="1">
                  <c:v>2024</c:v>
                </c:pt>
                <c:pt idx="2">
                  <c:v>2025</c:v>
                </c:pt>
                <c:pt idx="3">
                  <c:v>2026</c:v>
                </c:pt>
              </c:numCache>
            </c:numRef>
          </c:cat>
          <c:val>
            <c:numRef>
              <c:f>'Dashboard Data'!$D$8:$D$11</c:f>
              <c:numCache>
                <c:formatCode>#,##0</c:formatCode>
                <c:ptCount val="4"/>
                <c:pt idx="1">
                  <c:v>0.12159666182579321</c:v>
                </c:pt>
              </c:numCache>
            </c:numRef>
          </c:val>
          <c:extLst>
            <c:ext xmlns:c16="http://schemas.microsoft.com/office/drawing/2014/chart" uri="{C3380CC4-5D6E-409C-BE32-E72D297353CC}">
              <c16:uniqueId val="{00000001-9D2D-46D9-9858-55232B713121}"/>
            </c:ext>
          </c:extLst>
        </c:ser>
        <c:ser>
          <c:idx val="2"/>
          <c:order val="2"/>
          <c:tx>
            <c:strRef>
              <c:f>'Dashboard Data'!$E$7</c:f>
              <c:strCache>
                <c:ptCount val="1"/>
                <c:pt idx="0">
                  <c:v>Target</c:v>
                </c:pt>
              </c:strCache>
            </c:strRef>
          </c:tx>
          <c:spPr>
            <a:solidFill>
              <a:schemeClr val="accent3">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'Dashboard Data'!$B$8:$B$11</c:f>
              <c:numCache>
                <c:formatCode>General</c:formatCode>
                <c:ptCount val="4"/>
                <c:pt idx="0">
                  <c:v>2023</c:v>
                </c:pt>
                <c:pt idx="1">
                  <c:v>2024</c:v>
                </c:pt>
                <c:pt idx="2">
                  <c:v>2025</c:v>
                </c:pt>
                <c:pt idx="3">
                  <c:v>2026</c:v>
                </c:pt>
              </c:numCache>
            </c:numRef>
          </c:cat>
          <c:val>
            <c:numRef>
              <c:f>'Dashboard Data'!$E$8:$E$11</c:f>
              <c:numCache>
                <c:formatCode>#,##0.00</c:formatCode>
                <c:ptCount val="4"/>
                <c:pt idx="1">
                  <c:v>1.4479042538566409</c:v>
                </c:pt>
                <c:pt idx="2">
                  <c:v>1.3029165663110507</c:v>
                </c:pt>
                <c:pt idx="3">
                  <c:v>1.1727235407599088</c:v>
                </c:pt>
              </c:numCache>
            </c:numRef>
          </c:val>
          <c:extLst>
            <c:ext xmlns:c16="http://schemas.microsoft.com/office/drawing/2014/chart" uri="{C3380CC4-5D6E-409C-BE32-E72D297353CC}">
              <c16:uniqueId val="{00000002-9D2D-46D9-9858-55232B713121}"/>
            </c:ext>
          </c:extLst>
        </c:ser>
        <c:dLbls>
          <c:dLblPos val="outEnd"/>
          <c:showLegendKey val="0"/>
          <c:showVal val="1"/>
          <c:showCatName val="0"/>
          <c:showSerName val="0"/>
          <c:showPercent val="0"/>
          <c:showBubbleSize val="0"/>
        </c:dLbls>
        <c:gapWidth val="80"/>
        <c:overlap val="25"/>
        <c:axId val="178427440"/>
        <c:axId val="129496224"/>
      </c:barChart>
      <c:catAx>
        <c:axId val="178427440"/>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129496224"/>
        <c:crosses val="autoZero"/>
        <c:auto val="1"/>
        <c:lblAlgn val="ctr"/>
        <c:lblOffset val="100"/>
        <c:noMultiLvlLbl val="0"/>
      </c:catAx>
      <c:valAx>
        <c:axId val="129496224"/>
        <c:scaling>
          <c:orientation val="minMax"/>
        </c:scaling>
        <c:delete val="1"/>
        <c:axPos val="l"/>
        <c:numFmt formatCode="_(* #,##0.00_);_(* \(#,##0.00\);_(* &quot;-&quot;??_);_(@_)" sourceLinked="1"/>
        <c:majorTickMark val="none"/>
        <c:minorTickMark val="none"/>
        <c:tickLblPos val="nextTo"/>
        <c:crossAx val="1784274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Gas (MMBTU/DP)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'Dashboard Data'!$C$24</c:f>
              <c:strCache>
                <c:ptCount val="1"/>
                <c:pt idx="0">
                  <c:v> Baseline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 Data'!$B$25:$B$28</c:f>
              <c:numCache>
                <c:formatCode>General</c:formatCode>
                <c:ptCount val="4"/>
                <c:pt idx="0">
                  <c:v>2023</c:v>
                </c:pt>
                <c:pt idx="1">
                  <c:v>2024</c:v>
                </c:pt>
                <c:pt idx="2">
                  <c:v>2025</c:v>
                </c:pt>
                <c:pt idx="3">
                  <c:v>2026</c:v>
                </c:pt>
              </c:numCache>
            </c:numRef>
          </c:cat>
          <c:val>
            <c:numRef>
              <c:f>'Dashboard Data'!$C$25:$C$28</c:f>
              <c:numCache>
                <c:formatCode>General</c:formatCode>
                <c:ptCount val="4"/>
                <c:pt idx="0" formatCode="_(* #,##0.0000_);_(* \(#,##0.0000\);_(* &quot;-&quot;??_);_(@_)">
                  <c:v>1.9921087066947056E-2</c:v>
                </c:pt>
              </c:numCache>
            </c:numRef>
          </c:val>
          <c:extLst>
            <c:ext xmlns:c16="http://schemas.microsoft.com/office/drawing/2014/chart" uri="{C3380CC4-5D6E-409C-BE32-E72D297353CC}">
              <c16:uniqueId val="{00000000-6F2C-4E66-9262-A7854301974C}"/>
            </c:ext>
          </c:extLst>
        </c:ser>
        <c:ser>
          <c:idx val="1"/>
          <c:order val="1"/>
          <c:tx>
            <c:strRef>
              <c:f>'Dashboard Data'!$D$24</c:f>
              <c:strCache>
                <c:ptCount val="1"/>
                <c:pt idx="0">
                  <c:v>Actual</c:v>
                </c:pt>
              </c:strCache>
            </c:strRef>
          </c:tx>
          <c:spPr>
            <a:solidFill>
              <a:schemeClr val="accent2"/>
            </a:solidFill>
            <a:ln>
              <a:noFill/>
            </a:ln>
            <a:effectLst/>
          </c:spPr>
          <c:invertIfNegative val="0"/>
          <c:cat>
            <c:numRef>
              <c:f>'Dashboard Data'!$B$25:$B$28</c:f>
              <c:numCache>
                <c:formatCode>General</c:formatCode>
                <c:ptCount val="4"/>
                <c:pt idx="0">
                  <c:v>2023</c:v>
                </c:pt>
                <c:pt idx="1">
                  <c:v>2024</c:v>
                </c:pt>
                <c:pt idx="2">
                  <c:v>2025</c:v>
                </c:pt>
                <c:pt idx="3">
                  <c:v>2026</c:v>
                </c:pt>
              </c:numCache>
            </c:numRef>
          </c:cat>
          <c:val>
            <c:numRef>
              <c:f>'Dashboard Data'!$D$25:$D$28</c:f>
              <c:numCache>
                <c:formatCode>#,##0</c:formatCode>
                <c:ptCount val="4"/>
                <c:pt idx="1">
                  <c:v>1.7133084724710213E-3</c:v>
                </c:pt>
              </c:numCache>
            </c:numRef>
          </c:val>
          <c:extLst>
            <c:ext xmlns:c16="http://schemas.microsoft.com/office/drawing/2014/chart" uri="{C3380CC4-5D6E-409C-BE32-E72D297353CC}">
              <c16:uniqueId val="{00000001-6F2C-4E66-9262-A7854301974C}"/>
            </c:ext>
          </c:extLst>
        </c:ser>
        <c:ser>
          <c:idx val="2"/>
          <c:order val="2"/>
          <c:tx>
            <c:strRef>
              <c:f>'Dashboard Data'!$E$24</c:f>
              <c:strCache>
                <c:ptCount val="1"/>
                <c:pt idx="0">
                  <c:v>Target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 Data'!$B$25:$B$28</c:f>
              <c:numCache>
                <c:formatCode>General</c:formatCode>
                <c:ptCount val="4"/>
                <c:pt idx="0">
                  <c:v>2023</c:v>
                </c:pt>
                <c:pt idx="1">
                  <c:v>2024</c:v>
                </c:pt>
                <c:pt idx="2">
                  <c:v>2025</c:v>
                </c:pt>
                <c:pt idx="3">
                  <c:v>2026</c:v>
                </c:pt>
              </c:numCache>
            </c:numRef>
          </c:cat>
          <c:val>
            <c:numRef>
              <c:f>'Dashboard Data'!$E$25:$E$28</c:f>
              <c:numCache>
                <c:formatCode>#,##0.0000</c:formatCode>
                <c:ptCount val="4"/>
                <c:pt idx="1">
                  <c:v>1.8380796829811974E-2</c:v>
                </c:pt>
                <c:pt idx="2">
                  <c:v>1.6840506592676895E-2</c:v>
                </c:pt>
                <c:pt idx="3">
                  <c:v>1.5505588387159824E-2</c:v>
                </c:pt>
              </c:numCache>
            </c:numRef>
          </c:val>
          <c:extLst>
            <c:ext xmlns:c16="http://schemas.microsoft.com/office/drawing/2014/chart" uri="{C3380CC4-5D6E-409C-BE32-E72D297353CC}">
              <c16:uniqueId val="{00000002-6F2C-4E66-9262-A7854301974C}"/>
            </c:ext>
          </c:extLst>
        </c:ser>
        <c:dLbls>
          <c:showLegendKey val="0"/>
          <c:showVal val="0"/>
          <c:showCatName val="0"/>
          <c:showSerName val="0"/>
          <c:showPercent val="0"/>
          <c:showBubbleSize val="0"/>
        </c:dLbls>
        <c:gapWidth val="219"/>
        <c:overlap val="-27"/>
        <c:axId val="492590816"/>
        <c:axId val="938685936"/>
      </c:barChart>
      <c:catAx>
        <c:axId val="492590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8685936"/>
        <c:crosses val="autoZero"/>
        <c:auto val="1"/>
        <c:lblAlgn val="ctr"/>
        <c:lblOffset val="100"/>
        <c:noMultiLvlLbl val="0"/>
      </c:catAx>
      <c:valAx>
        <c:axId val="938685936"/>
        <c:scaling>
          <c:orientation val="minMax"/>
        </c:scaling>
        <c:delete val="0"/>
        <c:axPos val="l"/>
        <c:numFmt formatCode="_(* #,##0.0000_);_(* \(#,##0.0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5908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a:t>Water (L/DP)</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barChart>
        <c:barDir val="col"/>
        <c:grouping val="clustered"/>
        <c:varyColors val="0"/>
        <c:ser>
          <c:idx val="0"/>
          <c:order val="0"/>
          <c:tx>
            <c:strRef>
              <c:f>'Dashboard Data'!$C$40</c:f>
              <c:strCache>
                <c:ptCount val="1"/>
                <c:pt idx="0">
                  <c:v> Baseline </c:v>
                </c:pt>
              </c:strCache>
            </c:strRef>
          </c:tx>
          <c:spPr>
            <a:solidFill>
              <a:schemeClr val="accent1">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'Dashboard Data'!$B$41:$B$44</c:f>
              <c:numCache>
                <c:formatCode>General</c:formatCode>
                <c:ptCount val="4"/>
                <c:pt idx="0">
                  <c:v>2023</c:v>
                </c:pt>
                <c:pt idx="1">
                  <c:v>2024</c:v>
                </c:pt>
                <c:pt idx="2">
                  <c:v>2025</c:v>
                </c:pt>
                <c:pt idx="3">
                  <c:v>2026</c:v>
                </c:pt>
              </c:numCache>
            </c:numRef>
          </c:cat>
          <c:val>
            <c:numRef>
              <c:f>'Dashboard Data'!$C$41:$C$44</c:f>
              <c:numCache>
                <c:formatCode>General</c:formatCode>
                <c:ptCount val="4"/>
                <c:pt idx="0" formatCode="_(* #,##0.00_);_(* \(#,##0.00\);_(* &quot;-&quot;??_);_(@_)">
                  <c:v>17.553152786900327</c:v>
                </c:pt>
              </c:numCache>
            </c:numRef>
          </c:val>
          <c:extLst>
            <c:ext xmlns:c16="http://schemas.microsoft.com/office/drawing/2014/chart" uri="{C3380CC4-5D6E-409C-BE32-E72D297353CC}">
              <c16:uniqueId val="{00000000-8EDC-477D-997D-C2596FEDD0E0}"/>
            </c:ext>
          </c:extLst>
        </c:ser>
        <c:ser>
          <c:idx val="1"/>
          <c:order val="1"/>
          <c:tx>
            <c:strRef>
              <c:f>'Dashboard Data'!$D$40</c:f>
              <c:strCache>
                <c:ptCount val="1"/>
                <c:pt idx="0">
                  <c:v>Actual</c:v>
                </c:pt>
              </c:strCache>
            </c:strRef>
          </c:tx>
          <c:spPr>
            <a:solidFill>
              <a:schemeClr val="accent2">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'Dashboard Data'!$B$41:$B$44</c:f>
              <c:numCache>
                <c:formatCode>General</c:formatCode>
                <c:ptCount val="4"/>
                <c:pt idx="0">
                  <c:v>2023</c:v>
                </c:pt>
                <c:pt idx="1">
                  <c:v>2024</c:v>
                </c:pt>
                <c:pt idx="2">
                  <c:v>2025</c:v>
                </c:pt>
                <c:pt idx="3">
                  <c:v>2026</c:v>
                </c:pt>
              </c:numCache>
            </c:numRef>
          </c:cat>
          <c:val>
            <c:numRef>
              <c:f>'Dashboard Data'!$D$41:$D$44</c:f>
              <c:numCache>
                <c:formatCode>#,##0</c:formatCode>
                <c:ptCount val="4"/>
                <c:pt idx="1">
                  <c:v>0</c:v>
                </c:pt>
              </c:numCache>
            </c:numRef>
          </c:val>
          <c:extLst>
            <c:ext xmlns:c16="http://schemas.microsoft.com/office/drawing/2014/chart" uri="{C3380CC4-5D6E-409C-BE32-E72D297353CC}">
              <c16:uniqueId val="{00000001-8EDC-477D-997D-C2596FEDD0E0}"/>
            </c:ext>
          </c:extLst>
        </c:ser>
        <c:ser>
          <c:idx val="2"/>
          <c:order val="2"/>
          <c:tx>
            <c:strRef>
              <c:f>'Dashboard Data'!$E$40</c:f>
              <c:strCache>
                <c:ptCount val="1"/>
                <c:pt idx="0">
                  <c:v>Target</c:v>
                </c:pt>
              </c:strCache>
            </c:strRef>
          </c:tx>
          <c:spPr>
            <a:solidFill>
              <a:schemeClr val="accent3">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'Dashboard Data'!$B$41:$B$44</c:f>
              <c:numCache>
                <c:formatCode>General</c:formatCode>
                <c:ptCount val="4"/>
                <c:pt idx="0">
                  <c:v>2023</c:v>
                </c:pt>
                <c:pt idx="1">
                  <c:v>2024</c:v>
                </c:pt>
                <c:pt idx="2">
                  <c:v>2025</c:v>
                </c:pt>
                <c:pt idx="3">
                  <c:v>2026</c:v>
                </c:pt>
              </c:numCache>
            </c:numRef>
          </c:cat>
          <c:val>
            <c:numRef>
              <c:f>'Dashboard Data'!$E$41:$E$44</c:f>
              <c:numCache>
                <c:formatCode>#,##0.00</c:formatCode>
                <c:ptCount val="4"/>
                <c:pt idx="1">
                  <c:v>15.270596569687406</c:v>
                </c:pt>
                <c:pt idx="2">
                  <c:v>13.285363613778109</c:v>
                </c:pt>
                <c:pt idx="3">
                  <c:v>11.691637064057439</c:v>
                </c:pt>
              </c:numCache>
            </c:numRef>
          </c:val>
          <c:extLst>
            <c:ext xmlns:c16="http://schemas.microsoft.com/office/drawing/2014/chart" uri="{C3380CC4-5D6E-409C-BE32-E72D297353CC}">
              <c16:uniqueId val="{00000002-8EDC-477D-997D-C2596FEDD0E0}"/>
            </c:ext>
          </c:extLst>
        </c:ser>
        <c:dLbls>
          <c:dLblPos val="outEnd"/>
          <c:showLegendKey val="0"/>
          <c:showVal val="1"/>
          <c:showCatName val="0"/>
          <c:showSerName val="0"/>
          <c:showPercent val="0"/>
          <c:showBubbleSize val="0"/>
        </c:dLbls>
        <c:gapWidth val="80"/>
        <c:overlap val="25"/>
        <c:axId val="930151584"/>
        <c:axId val="938696016"/>
      </c:barChart>
      <c:catAx>
        <c:axId val="930151584"/>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938696016"/>
        <c:crosses val="autoZero"/>
        <c:auto val="1"/>
        <c:lblAlgn val="ctr"/>
        <c:lblOffset val="100"/>
        <c:noMultiLvlLbl val="0"/>
      </c:catAx>
      <c:valAx>
        <c:axId val="938696016"/>
        <c:scaling>
          <c:orientation val="minMax"/>
        </c:scaling>
        <c:delete val="1"/>
        <c:axPos val="l"/>
        <c:majorGridlines>
          <c:spPr>
            <a:ln w="9525" cap="flat" cmpd="sng" algn="ctr">
              <a:solidFill>
                <a:schemeClr val="tx1">
                  <a:lumMod val="5000"/>
                  <a:lumOff val="95000"/>
                </a:schemeClr>
              </a:solidFill>
              <a:round/>
            </a:ln>
            <a:effectLst/>
          </c:spPr>
        </c:majorGridlines>
        <c:numFmt formatCode="_(* #,##0.00_);_(* \(#,##0.00\);_(* &quot;-&quot;??_);_(@_)" sourceLinked="1"/>
        <c:majorTickMark val="none"/>
        <c:minorTickMark val="none"/>
        <c:tickLblPos val="nextTo"/>
        <c:crossAx val="9301515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a:t>Scope 3 Reduction (Tons CO2 / DP)</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barChart>
        <c:barDir val="col"/>
        <c:grouping val="clustered"/>
        <c:varyColors val="0"/>
        <c:ser>
          <c:idx val="0"/>
          <c:order val="0"/>
          <c:tx>
            <c:strRef>
              <c:f>'Dashboard Data'!$C$51</c:f>
              <c:strCache>
                <c:ptCount val="1"/>
                <c:pt idx="0">
                  <c:v>Actual</c:v>
                </c:pt>
              </c:strCache>
            </c:strRef>
          </c:tx>
          <c:spPr>
            <a:solidFill>
              <a:schemeClr val="accent1">
                <a:alpha val="70000"/>
              </a:schemeClr>
            </a:solidFill>
            <a:ln>
              <a:noFill/>
            </a:ln>
            <a:effectLst/>
          </c:spPr>
          <c:invertIfNegative val="0"/>
          <c:cat>
            <c:numRef>
              <c:f>'Dashboard Data'!$B$52:$B$54</c:f>
              <c:numCache>
                <c:formatCode>General</c:formatCode>
                <c:ptCount val="3"/>
                <c:pt idx="0">
                  <c:v>2024</c:v>
                </c:pt>
                <c:pt idx="1">
                  <c:v>2025</c:v>
                </c:pt>
                <c:pt idx="2">
                  <c:v>2026</c:v>
                </c:pt>
              </c:numCache>
            </c:numRef>
          </c:cat>
          <c:val>
            <c:numRef>
              <c:f>'Dashboard Data'!$C$52:$C$54</c:f>
              <c:numCache>
                <c:formatCode>#,##0.000</c:formatCode>
                <c:ptCount val="3"/>
                <c:pt idx="0">
                  <c:v>0</c:v>
                </c:pt>
              </c:numCache>
            </c:numRef>
          </c:val>
          <c:extLst>
            <c:ext xmlns:c16="http://schemas.microsoft.com/office/drawing/2014/chart" uri="{C3380CC4-5D6E-409C-BE32-E72D297353CC}">
              <c16:uniqueId val="{00000000-421E-42E1-B70B-A3115623C737}"/>
            </c:ext>
          </c:extLst>
        </c:ser>
        <c:ser>
          <c:idx val="1"/>
          <c:order val="1"/>
          <c:tx>
            <c:strRef>
              <c:f>'Dashboard Data'!$D$51</c:f>
              <c:strCache>
                <c:ptCount val="1"/>
                <c:pt idx="0">
                  <c:v>Target</c:v>
                </c:pt>
              </c:strCache>
            </c:strRef>
          </c:tx>
          <c:spPr>
            <a:solidFill>
              <a:schemeClr val="accent2">
                <a:alpha val="70000"/>
              </a:schemeClr>
            </a:solidFill>
            <a:ln>
              <a:noFill/>
            </a:ln>
            <a:effectLst/>
          </c:spPr>
          <c:invertIfNegative val="0"/>
          <c:cat>
            <c:numRef>
              <c:f>'Dashboard Data'!$B$52:$B$54</c:f>
              <c:numCache>
                <c:formatCode>General</c:formatCode>
                <c:ptCount val="3"/>
                <c:pt idx="0">
                  <c:v>2024</c:v>
                </c:pt>
                <c:pt idx="1">
                  <c:v>2025</c:v>
                </c:pt>
                <c:pt idx="2">
                  <c:v>2026</c:v>
                </c:pt>
              </c:numCache>
            </c:numRef>
          </c:cat>
          <c:val>
            <c:numRef>
              <c:f>'Dashboard Data'!$D$52:$D$54</c:f>
              <c:numCache>
                <c:formatCode>#,##0.000</c:formatCode>
                <c:ptCount val="3"/>
                <c:pt idx="0">
                  <c:v>8.0000000000000002E-3</c:v>
                </c:pt>
                <c:pt idx="1">
                  <c:v>8.0000000000000002E-3</c:v>
                </c:pt>
                <c:pt idx="2">
                  <c:v>1.6E-2</c:v>
                </c:pt>
              </c:numCache>
            </c:numRef>
          </c:val>
          <c:extLst>
            <c:ext xmlns:c16="http://schemas.microsoft.com/office/drawing/2014/chart" uri="{C3380CC4-5D6E-409C-BE32-E72D297353CC}">
              <c16:uniqueId val="{00000001-421E-42E1-B70B-A3115623C737}"/>
            </c:ext>
          </c:extLst>
        </c:ser>
        <c:dLbls>
          <c:showLegendKey val="0"/>
          <c:showVal val="0"/>
          <c:showCatName val="0"/>
          <c:showSerName val="0"/>
          <c:showPercent val="0"/>
          <c:showBubbleSize val="0"/>
        </c:dLbls>
        <c:gapWidth val="80"/>
        <c:overlap val="25"/>
        <c:axId val="963548448"/>
        <c:axId val="938704176"/>
      </c:barChart>
      <c:catAx>
        <c:axId val="963548448"/>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938704176"/>
        <c:crosses val="autoZero"/>
        <c:auto val="1"/>
        <c:lblAlgn val="ctr"/>
        <c:lblOffset val="100"/>
        <c:noMultiLvlLbl val="0"/>
      </c:catAx>
      <c:valAx>
        <c:axId val="938704176"/>
        <c:scaling>
          <c:orientation val="minMax"/>
        </c:scaling>
        <c:delete val="1"/>
        <c:axPos val="l"/>
        <c:majorGridlines>
          <c:spPr>
            <a:ln w="9525" cap="flat" cmpd="sng" algn="ctr">
              <a:solidFill>
                <a:schemeClr val="tx1">
                  <a:lumMod val="5000"/>
                  <a:lumOff val="95000"/>
                </a:schemeClr>
              </a:solidFill>
              <a:round/>
            </a:ln>
            <a:effectLst/>
          </c:spPr>
        </c:majorGridlines>
        <c:numFmt formatCode="#,##0.000" sourceLinked="1"/>
        <c:majorTickMark val="none"/>
        <c:minorTickMark val="none"/>
        <c:tickLblPos val="nextTo"/>
        <c:crossAx val="963548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'Dashboard Data'!$C$73</c:f>
              <c:strCache>
                <c:ptCount val="1"/>
                <c:pt idx="0">
                  <c:v> Baseline </c:v>
                </c:pt>
              </c:strCache>
            </c:strRef>
          </c:tx>
          <c:spPr>
            <a:solidFill>
              <a:schemeClr val="accent1"/>
            </a:solidFill>
            <a:ln>
              <a:noFill/>
            </a:ln>
            <a:effectLst/>
          </c:spPr>
          <c:invertIfNegative val="0"/>
          <c:cat>
            <c:numRef>
              <c:f>'Dashboard Data'!$B$74:$B$77</c:f>
              <c:numCache>
                <c:formatCode>General</c:formatCode>
                <c:ptCount val="4"/>
                <c:pt idx="0">
                  <c:v>2023</c:v>
                </c:pt>
                <c:pt idx="1">
                  <c:v>2024</c:v>
                </c:pt>
                <c:pt idx="2">
                  <c:v>2025</c:v>
                </c:pt>
                <c:pt idx="3">
                  <c:v>2026</c:v>
                </c:pt>
              </c:numCache>
            </c:numRef>
          </c:cat>
          <c:val>
            <c:numRef>
              <c:f>'Dashboard Data'!$C$74:$C$77</c:f>
              <c:numCache>
                <c:formatCode>General</c:formatCode>
                <c:ptCount val="4"/>
                <c:pt idx="0" formatCode="_(* #,##0.00_);_(* \(#,##0.00\);_(* &quot;-&quot;??_);_(@_)">
                  <c:v>9.1338476217056837</c:v>
                </c:pt>
              </c:numCache>
            </c:numRef>
          </c:val>
          <c:extLst>
            <c:ext xmlns:c16="http://schemas.microsoft.com/office/drawing/2014/chart" uri="{C3380CC4-5D6E-409C-BE32-E72D297353CC}">
              <c16:uniqueId val="{00000000-B112-4A8F-979A-4B8F2E39265E}"/>
            </c:ext>
          </c:extLst>
        </c:ser>
        <c:ser>
          <c:idx val="1"/>
          <c:order val="1"/>
          <c:tx>
            <c:strRef>
              <c:f>'Dashboard Data'!$D$73</c:f>
              <c:strCache>
                <c:ptCount val="1"/>
                <c:pt idx="0">
                  <c:v>Actual</c:v>
                </c:pt>
              </c:strCache>
            </c:strRef>
          </c:tx>
          <c:spPr>
            <a:solidFill>
              <a:schemeClr val="accent2"/>
            </a:solidFill>
            <a:ln>
              <a:noFill/>
            </a:ln>
            <a:effectLst/>
          </c:spPr>
          <c:invertIfNegative val="0"/>
          <c:cat>
            <c:numRef>
              <c:f>'Dashboard Data'!$B$74:$B$77</c:f>
              <c:numCache>
                <c:formatCode>General</c:formatCode>
                <c:ptCount val="4"/>
                <c:pt idx="0">
                  <c:v>2023</c:v>
                </c:pt>
                <c:pt idx="1">
                  <c:v>2024</c:v>
                </c:pt>
                <c:pt idx="2">
                  <c:v>2025</c:v>
                </c:pt>
                <c:pt idx="3">
                  <c:v>2026</c:v>
                </c:pt>
              </c:numCache>
            </c:numRef>
          </c:cat>
          <c:val>
            <c:numRef>
              <c:f>'Dashboard Data'!$D$74:$D$77</c:f>
              <c:numCache>
                <c:formatCode>#,##0</c:formatCode>
                <c:ptCount val="4"/>
                <c:pt idx="1">
                  <c:v>0</c:v>
                </c:pt>
              </c:numCache>
            </c:numRef>
          </c:val>
          <c:extLst>
            <c:ext xmlns:c16="http://schemas.microsoft.com/office/drawing/2014/chart" uri="{C3380CC4-5D6E-409C-BE32-E72D297353CC}">
              <c16:uniqueId val="{00000001-B112-4A8F-979A-4B8F2E39265E}"/>
            </c:ext>
          </c:extLst>
        </c:ser>
        <c:ser>
          <c:idx val="2"/>
          <c:order val="2"/>
          <c:tx>
            <c:strRef>
              <c:f>'Dashboard Data'!$E$73</c:f>
              <c:strCache>
                <c:ptCount val="1"/>
                <c:pt idx="0">
                  <c:v>Target</c:v>
                </c:pt>
              </c:strCache>
            </c:strRef>
          </c:tx>
          <c:spPr>
            <a:solidFill>
              <a:schemeClr val="accent3"/>
            </a:solidFill>
            <a:ln>
              <a:noFill/>
            </a:ln>
            <a:effectLst/>
          </c:spPr>
          <c:invertIfNegative val="0"/>
          <c:cat>
            <c:numRef>
              <c:f>'Dashboard Data'!$B$74:$B$77</c:f>
              <c:numCache>
                <c:formatCode>General</c:formatCode>
                <c:ptCount val="4"/>
                <c:pt idx="0">
                  <c:v>2023</c:v>
                </c:pt>
                <c:pt idx="1">
                  <c:v>2024</c:v>
                </c:pt>
                <c:pt idx="2">
                  <c:v>2025</c:v>
                </c:pt>
                <c:pt idx="3">
                  <c:v>2026</c:v>
                </c:pt>
              </c:numCache>
            </c:numRef>
          </c:cat>
          <c:val>
            <c:numRef>
              <c:f>'Dashboard Data'!$E$74:$E$77</c:f>
              <c:numCache>
                <c:formatCode>#,##0.00</c:formatCode>
                <c:ptCount val="4"/>
                <c:pt idx="1">
                  <c:v>7.2984916366155872</c:v>
                </c:pt>
                <c:pt idx="2">
                  <c:v>5.8387933092924698</c:v>
                </c:pt>
                <c:pt idx="3">
                  <c:v>4.668888032246735</c:v>
                </c:pt>
              </c:numCache>
            </c:numRef>
          </c:val>
          <c:extLst>
            <c:ext xmlns:c16="http://schemas.microsoft.com/office/drawing/2014/chart" uri="{C3380CC4-5D6E-409C-BE32-E72D297353CC}">
              <c16:uniqueId val="{00000002-B112-4A8F-979A-4B8F2E39265E}"/>
            </c:ext>
          </c:extLst>
        </c:ser>
        <c:dLbls>
          <c:showLegendKey val="0"/>
          <c:showVal val="0"/>
          <c:showCatName val="0"/>
          <c:showSerName val="0"/>
          <c:showPercent val="0"/>
          <c:showBubbleSize val="0"/>
        </c:dLbls>
        <c:gapWidth val="219"/>
        <c:overlap val="-27"/>
        <c:axId val="12867056"/>
        <c:axId val="438425232"/>
      </c:barChart>
      <c:catAx>
        <c:axId val="12867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8425232"/>
        <c:crosses val="autoZero"/>
        <c:auto val="1"/>
        <c:lblAlgn val="ctr"/>
        <c:lblOffset val="100"/>
        <c:noMultiLvlLbl val="0"/>
      </c:catAx>
      <c:valAx>
        <c:axId val="438425232"/>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70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barChart>
        <c:barDir val="col"/>
        <c:grouping val="clustered"/>
        <c:varyColors val="0"/>
        <c:ser>
          <c:idx val="0"/>
          <c:order val="0"/>
          <c:tx>
            <c:strRef>
              <c:f>'Dashboard Data'!$C$90</c:f>
              <c:strCache>
                <c:ptCount val="1"/>
                <c:pt idx="0">
                  <c:v> Baseline </c:v>
                </c:pt>
              </c:strCache>
            </c:strRef>
          </c:tx>
          <c:spPr>
            <a:solidFill>
              <a:schemeClr val="accent1">
                <a:alpha val="70000"/>
              </a:schemeClr>
            </a:solidFill>
            <a:ln>
              <a:noFill/>
            </a:ln>
            <a:effectLst/>
          </c:spPr>
          <c:invertIfNegative val="0"/>
          <c:cat>
            <c:numRef>
              <c:f>'Dashboard Data'!$B$91:$B$94</c:f>
              <c:numCache>
                <c:formatCode>General</c:formatCode>
                <c:ptCount val="4"/>
                <c:pt idx="0">
                  <c:v>2023</c:v>
                </c:pt>
                <c:pt idx="1">
                  <c:v>2024</c:v>
                </c:pt>
                <c:pt idx="2">
                  <c:v>2025</c:v>
                </c:pt>
                <c:pt idx="3">
                  <c:v>2026</c:v>
                </c:pt>
              </c:numCache>
            </c:numRef>
          </c:cat>
          <c:val>
            <c:numRef>
              <c:f>'Dashboard Data'!$C$91:$C$94</c:f>
              <c:numCache>
                <c:formatCode>General</c:formatCode>
                <c:ptCount val="4"/>
                <c:pt idx="0" formatCode="_(* #,##0.000_);_(* \(#,##0.000\);_(* &quot;-&quot;??_);_(@_)">
                  <c:v>0.19298593683153836</c:v>
                </c:pt>
              </c:numCache>
            </c:numRef>
          </c:val>
          <c:extLst>
            <c:ext xmlns:c16="http://schemas.microsoft.com/office/drawing/2014/chart" uri="{C3380CC4-5D6E-409C-BE32-E72D297353CC}">
              <c16:uniqueId val="{00000000-06C2-430B-9B01-2AC7678C21A8}"/>
            </c:ext>
          </c:extLst>
        </c:ser>
        <c:ser>
          <c:idx val="1"/>
          <c:order val="1"/>
          <c:tx>
            <c:strRef>
              <c:f>'Dashboard Data'!$D$90</c:f>
              <c:strCache>
                <c:ptCount val="1"/>
                <c:pt idx="0">
                  <c:v>Actual</c:v>
                </c:pt>
              </c:strCache>
            </c:strRef>
          </c:tx>
          <c:spPr>
            <a:solidFill>
              <a:schemeClr val="accent2">
                <a:alpha val="70000"/>
              </a:schemeClr>
            </a:solidFill>
            <a:ln>
              <a:noFill/>
            </a:ln>
            <a:effectLst/>
          </c:spPr>
          <c:invertIfNegative val="0"/>
          <c:cat>
            <c:numRef>
              <c:f>'Dashboard Data'!$B$91:$B$94</c:f>
              <c:numCache>
                <c:formatCode>General</c:formatCode>
                <c:ptCount val="4"/>
                <c:pt idx="0">
                  <c:v>2023</c:v>
                </c:pt>
                <c:pt idx="1">
                  <c:v>2024</c:v>
                </c:pt>
                <c:pt idx="2">
                  <c:v>2025</c:v>
                </c:pt>
                <c:pt idx="3">
                  <c:v>2026</c:v>
                </c:pt>
              </c:numCache>
            </c:numRef>
          </c:cat>
          <c:val>
            <c:numRef>
              <c:f>'Dashboard Data'!$D$91:$D$94</c:f>
              <c:numCache>
                <c:formatCode>#,##0.000</c:formatCode>
                <c:ptCount val="4"/>
                <c:pt idx="1">
                  <c:v>38.881779999999999</c:v>
                </c:pt>
              </c:numCache>
            </c:numRef>
          </c:val>
          <c:extLst>
            <c:ext xmlns:c16="http://schemas.microsoft.com/office/drawing/2014/chart" uri="{C3380CC4-5D6E-409C-BE32-E72D297353CC}">
              <c16:uniqueId val="{00000001-06C2-430B-9B01-2AC7678C21A8}"/>
            </c:ext>
          </c:extLst>
        </c:ser>
        <c:ser>
          <c:idx val="2"/>
          <c:order val="2"/>
          <c:tx>
            <c:strRef>
              <c:f>'Dashboard Data'!$E$90</c:f>
              <c:strCache>
                <c:ptCount val="1"/>
                <c:pt idx="0">
                  <c:v>Target</c:v>
                </c:pt>
              </c:strCache>
            </c:strRef>
          </c:tx>
          <c:spPr>
            <a:solidFill>
              <a:schemeClr val="accent3">
                <a:alpha val="70000"/>
              </a:schemeClr>
            </a:solidFill>
            <a:ln>
              <a:noFill/>
            </a:ln>
            <a:effectLst/>
          </c:spPr>
          <c:invertIfNegative val="0"/>
          <c:cat>
            <c:numRef>
              <c:f>'Dashboard Data'!$B$91:$B$94</c:f>
              <c:numCache>
                <c:formatCode>General</c:formatCode>
                <c:ptCount val="4"/>
                <c:pt idx="0">
                  <c:v>2023</c:v>
                </c:pt>
                <c:pt idx="1">
                  <c:v>2024</c:v>
                </c:pt>
                <c:pt idx="2">
                  <c:v>2025</c:v>
                </c:pt>
                <c:pt idx="3">
                  <c:v>2026</c:v>
                </c:pt>
              </c:numCache>
            </c:numRef>
          </c:cat>
          <c:val>
            <c:numRef>
              <c:f>'Dashboard Data'!$E$91:$E$94</c:f>
              <c:numCache>
                <c:formatCode>#,##0.000</c:formatCode>
                <c:ptCount val="4"/>
                <c:pt idx="1">
                  <c:v>0.20949131300791995</c:v>
                </c:pt>
                <c:pt idx="2">
                  <c:v>0.22599668918430149</c:v>
                </c:pt>
                <c:pt idx="3">
                  <c:v>0.24758064264572358</c:v>
                </c:pt>
              </c:numCache>
            </c:numRef>
          </c:val>
          <c:extLst>
            <c:ext xmlns:c16="http://schemas.microsoft.com/office/drawing/2014/chart" uri="{C3380CC4-5D6E-409C-BE32-E72D297353CC}">
              <c16:uniqueId val="{00000002-06C2-430B-9B01-2AC7678C21A8}"/>
            </c:ext>
          </c:extLst>
        </c:ser>
        <c:dLbls>
          <c:showLegendKey val="0"/>
          <c:showVal val="0"/>
          <c:showCatName val="0"/>
          <c:showSerName val="0"/>
          <c:showPercent val="0"/>
          <c:showBubbleSize val="0"/>
        </c:dLbls>
        <c:gapWidth val="80"/>
        <c:overlap val="25"/>
        <c:axId val="1416504608"/>
        <c:axId val="410493072"/>
      </c:barChart>
      <c:catAx>
        <c:axId val="1416504608"/>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410493072"/>
        <c:crosses val="autoZero"/>
        <c:auto val="1"/>
        <c:lblAlgn val="ctr"/>
        <c:lblOffset val="100"/>
        <c:noMultiLvlLbl val="0"/>
      </c:catAx>
      <c:valAx>
        <c:axId val="410493072"/>
        <c:scaling>
          <c:orientation val="minMax"/>
        </c:scaling>
        <c:delete val="1"/>
        <c:axPos val="l"/>
        <c:majorGridlines>
          <c:spPr>
            <a:ln w="9525" cap="flat" cmpd="sng" algn="ctr">
              <a:solidFill>
                <a:schemeClr val="tx1">
                  <a:lumMod val="5000"/>
                  <a:lumOff val="95000"/>
                </a:schemeClr>
              </a:solidFill>
              <a:round/>
            </a:ln>
            <a:effectLst/>
          </c:spPr>
        </c:majorGridlines>
        <c:numFmt formatCode="_(* #,##0.000_);_(* \(#,##0.000\);_(* &quot;-&quot;??_);_(@_)" sourceLinked="1"/>
        <c:majorTickMark val="none"/>
        <c:minorTickMark val="none"/>
        <c:tickLblPos val="nextTo"/>
        <c:crossAx val="1416504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barChart>
        <c:barDir val="col"/>
        <c:grouping val="clustered"/>
        <c:varyColors val="0"/>
        <c:ser>
          <c:idx val="0"/>
          <c:order val="0"/>
          <c:tx>
            <c:strRef>
              <c:f>'Dashboard Data'!$C$103</c:f>
              <c:strCache>
                <c:ptCount val="1"/>
                <c:pt idx="0">
                  <c:v> Baseline </c:v>
                </c:pt>
              </c:strCache>
            </c:strRef>
          </c:tx>
          <c:spPr>
            <a:solidFill>
              <a:schemeClr val="accent1">
                <a:alpha val="70000"/>
              </a:schemeClr>
            </a:solidFill>
            <a:ln>
              <a:noFill/>
            </a:ln>
            <a:effectLst/>
          </c:spPr>
          <c:invertIfNegative val="0"/>
          <c:cat>
            <c:numRef>
              <c:f>'Dashboard Data'!$B$104:$B$107</c:f>
              <c:numCache>
                <c:formatCode>General</c:formatCode>
                <c:ptCount val="4"/>
                <c:pt idx="0">
                  <c:v>2023</c:v>
                </c:pt>
                <c:pt idx="1">
                  <c:v>2024</c:v>
                </c:pt>
                <c:pt idx="2">
                  <c:v>2025</c:v>
                </c:pt>
                <c:pt idx="3">
                  <c:v>2026</c:v>
                </c:pt>
              </c:numCache>
            </c:numRef>
          </c:cat>
          <c:val>
            <c:numRef>
              <c:f>'Dashboard Data'!$C$104:$C$107</c:f>
              <c:numCache>
                <c:formatCode>General</c:formatCode>
                <c:ptCount val="4"/>
                <c:pt idx="0" formatCode="_(* #,##0.000_);_(* \(#,##0.000\);_(* &quot;-&quot;??_);_(@_)">
                  <c:v>0.22791974140138208</c:v>
                </c:pt>
              </c:numCache>
            </c:numRef>
          </c:val>
          <c:extLst>
            <c:ext xmlns:c16="http://schemas.microsoft.com/office/drawing/2014/chart" uri="{C3380CC4-5D6E-409C-BE32-E72D297353CC}">
              <c16:uniqueId val="{00000000-5E2B-47E2-829A-43B1D3B19B46}"/>
            </c:ext>
          </c:extLst>
        </c:ser>
        <c:ser>
          <c:idx val="1"/>
          <c:order val="1"/>
          <c:tx>
            <c:strRef>
              <c:f>'Dashboard Data'!$D$103</c:f>
              <c:strCache>
                <c:ptCount val="1"/>
                <c:pt idx="0">
                  <c:v>Actual</c:v>
                </c:pt>
              </c:strCache>
            </c:strRef>
          </c:tx>
          <c:spPr>
            <a:solidFill>
              <a:schemeClr val="accent2">
                <a:alpha val="70000"/>
              </a:schemeClr>
            </a:solidFill>
            <a:ln>
              <a:noFill/>
            </a:ln>
            <a:effectLst/>
          </c:spPr>
          <c:invertIfNegative val="0"/>
          <c:cat>
            <c:numRef>
              <c:f>'Dashboard Data'!$B$104:$B$107</c:f>
              <c:numCache>
                <c:formatCode>General</c:formatCode>
                <c:ptCount val="4"/>
                <c:pt idx="0">
                  <c:v>2023</c:v>
                </c:pt>
                <c:pt idx="1">
                  <c:v>2024</c:v>
                </c:pt>
                <c:pt idx="2">
                  <c:v>2025</c:v>
                </c:pt>
                <c:pt idx="3">
                  <c:v>2026</c:v>
                </c:pt>
              </c:numCache>
            </c:numRef>
          </c:cat>
          <c:val>
            <c:numRef>
              <c:f>'Dashboard Data'!$D$104:$D$107</c:f>
              <c:numCache>
                <c:formatCode>#,##0</c:formatCode>
                <c:ptCount val="4"/>
                <c:pt idx="1">
                  <c:v>0.21708915681882804</c:v>
                </c:pt>
              </c:numCache>
            </c:numRef>
          </c:val>
          <c:extLst>
            <c:ext xmlns:c16="http://schemas.microsoft.com/office/drawing/2014/chart" uri="{C3380CC4-5D6E-409C-BE32-E72D297353CC}">
              <c16:uniqueId val="{00000001-5E2B-47E2-829A-43B1D3B19B46}"/>
            </c:ext>
          </c:extLst>
        </c:ser>
        <c:ser>
          <c:idx val="2"/>
          <c:order val="2"/>
          <c:tx>
            <c:strRef>
              <c:f>'Dashboard Data'!$E$103</c:f>
              <c:strCache>
                <c:ptCount val="1"/>
                <c:pt idx="0">
                  <c:v>Target</c:v>
                </c:pt>
              </c:strCache>
            </c:strRef>
          </c:tx>
          <c:spPr>
            <a:solidFill>
              <a:schemeClr val="accent3">
                <a:alpha val="70000"/>
              </a:schemeClr>
            </a:solidFill>
            <a:ln>
              <a:noFill/>
            </a:ln>
            <a:effectLst/>
          </c:spPr>
          <c:invertIfNegative val="0"/>
          <c:cat>
            <c:numRef>
              <c:f>'Dashboard Data'!$B$104:$B$107</c:f>
              <c:numCache>
                <c:formatCode>General</c:formatCode>
                <c:ptCount val="4"/>
                <c:pt idx="0">
                  <c:v>2023</c:v>
                </c:pt>
                <c:pt idx="1">
                  <c:v>2024</c:v>
                </c:pt>
                <c:pt idx="2">
                  <c:v>2025</c:v>
                </c:pt>
                <c:pt idx="3">
                  <c:v>2026</c:v>
                </c:pt>
              </c:numCache>
            </c:numRef>
          </c:cat>
          <c:val>
            <c:numRef>
              <c:f>'Dashboard Data'!$E$104:$E$107</c:f>
              <c:numCache>
                <c:formatCode>#,##0.000</c:formatCode>
                <c:ptCount val="4"/>
                <c:pt idx="1">
                  <c:v>0.20437873524724873</c:v>
                </c:pt>
                <c:pt idx="2">
                  <c:v>0.18404786629595171</c:v>
                </c:pt>
                <c:pt idx="3">
                  <c:v>0.16585708881321232</c:v>
                </c:pt>
              </c:numCache>
            </c:numRef>
          </c:val>
          <c:extLst>
            <c:ext xmlns:c16="http://schemas.microsoft.com/office/drawing/2014/chart" uri="{C3380CC4-5D6E-409C-BE32-E72D297353CC}">
              <c16:uniqueId val="{00000002-5E2B-47E2-829A-43B1D3B19B46}"/>
            </c:ext>
          </c:extLst>
        </c:ser>
        <c:dLbls>
          <c:showLegendKey val="0"/>
          <c:showVal val="0"/>
          <c:showCatName val="0"/>
          <c:showSerName val="0"/>
          <c:showPercent val="0"/>
          <c:showBubbleSize val="0"/>
        </c:dLbls>
        <c:gapWidth val="80"/>
        <c:overlap val="25"/>
        <c:axId val="1416467488"/>
        <c:axId val="410492592"/>
      </c:barChart>
      <c:catAx>
        <c:axId val="1416467488"/>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410492592"/>
        <c:crosses val="autoZero"/>
        <c:auto val="1"/>
        <c:lblAlgn val="ctr"/>
        <c:lblOffset val="100"/>
        <c:noMultiLvlLbl val="0"/>
      </c:catAx>
      <c:valAx>
        <c:axId val="410492592"/>
        <c:scaling>
          <c:orientation val="minMax"/>
        </c:scaling>
        <c:delete val="1"/>
        <c:axPos val="l"/>
        <c:majorGridlines>
          <c:spPr>
            <a:ln w="9525" cap="flat" cmpd="sng" algn="ctr">
              <a:solidFill>
                <a:schemeClr val="tx1">
                  <a:lumMod val="5000"/>
                  <a:lumOff val="95000"/>
                </a:schemeClr>
              </a:solidFill>
              <a:round/>
            </a:ln>
            <a:effectLst/>
          </c:spPr>
        </c:majorGridlines>
        <c:numFmt formatCode="_(* #,##0.000_);_(* \(#,##0.000\);_(* &quot;-&quot;??_);_(@_)" sourceLinked="1"/>
        <c:majorTickMark val="none"/>
        <c:minorTickMark val="none"/>
        <c:tickLblPos val="nextTo"/>
        <c:crossAx val="14164674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'Dashboard Data'!$C$116</c:f>
              <c:strCache>
                <c:ptCount val="1"/>
                <c:pt idx="0">
                  <c:v> Baseline </c:v>
                </c:pt>
              </c:strCache>
            </c:strRef>
          </c:tx>
          <c:spPr>
            <a:solidFill>
              <a:schemeClr val="accent1"/>
            </a:solidFill>
            <a:ln>
              <a:noFill/>
            </a:ln>
            <a:effectLst/>
          </c:spPr>
          <c:invertIfNegative val="0"/>
          <c:cat>
            <c:numRef>
              <c:f>'Dashboard Data'!$B$117:$B$120</c:f>
              <c:numCache>
                <c:formatCode>General</c:formatCode>
                <c:ptCount val="4"/>
                <c:pt idx="0">
                  <c:v>2023</c:v>
                </c:pt>
                <c:pt idx="1">
                  <c:v>2024</c:v>
                </c:pt>
                <c:pt idx="2">
                  <c:v>2025</c:v>
                </c:pt>
                <c:pt idx="3">
                  <c:v>2026</c:v>
                </c:pt>
              </c:numCache>
            </c:numRef>
          </c:cat>
          <c:val>
            <c:numRef>
              <c:f>'Dashboard Data'!$C$117:$C$120</c:f>
              <c:numCache>
                <c:formatCode>General</c:formatCode>
                <c:ptCount val="4"/>
                <c:pt idx="0" formatCode="_(* #,##0.000_);_(* \(#,##0.000\);_(* &quot;-&quot;??_);_(@_)">
                  <c:v>0.27342772614132427</c:v>
                </c:pt>
              </c:numCache>
            </c:numRef>
          </c:val>
          <c:extLst>
            <c:ext xmlns:c16="http://schemas.microsoft.com/office/drawing/2014/chart" uri="{C3380CC4-5D6E-409C-BE32-E72D297353CC}">
              <c16:uniqueId val="{00000000-1D8A-4DC3-B713-DAC35D83E925}"/>
            </c:ext>
          </c:extLst>
        </c:ser>
        <c:ser>
          <c:idx val="1"/>
          <c:order val="1"/>
          <c:tx>
            <c:strRef>
              <c:f>'Dashboard Data'!$D$116</c:f>
              <c:strCache>
                <c:ptCount val="1"/>
                <c:pt idx="0">
                  <c:v>Actual</c:v>
                </c:pt>
              </c:strCache>
            </c:strRef>
          </c:tx>
          <c:spPr>
            <a:solidFill>
              <a:schemeClr val="accent2"/>
            </a:solidFill>
            <a:ln>
              <a:noFill/>
            </a:ln>
            <a:effectLst/>
          </c:spPr>
          <c:invertIfNegative val="0"/>
          <c:cat>
            <c:numRef>
              <c:f>'Dashboard Data'!$B$117:$B$120</c:f>
              <c:numCache>
                <c:formatCode>General</c:formatCode>
                <c:ptCount val="4"/>
                <c:pt idx="0">
                  <c:v>2023</c:v>
                </c:pt>
                <c:pt idx="1">
                  <c:v>2024</c:v>
                </c:pt>
                <c:pt idx="2">
                  <c:v>2025</c:v>
                </c:pt>
                <c:pt idx="3">
                  <c:v>2026</c:v>
                </c:pt>
              </c:numCache>
            </c:numRef>
          </c:cat>
          <c:val>
            <c:numRef>
              <c:f>'Dashboard Data'!$D$117:$D$120</c:f>
              <c:numCache>
                <c:formatCode>#,##0</c:formatCode>
                <c:ptCount val="4"/>
                <c:pt idx="1">
                  <c:v>0.26029800416028576</c:v>
                </c:pt>
              </c:numCache>
            </c:numRef>
          </c:val>
          <c:extLst>
            <c:ext xmlns:c16="http://schemas.microsoft.com/office/drawing/2014/chart" uri="{C3380CC4-5D6E-409C-BE32-E72D297353CC}">
              <c16:uniqueId val="{00000001-1D8A-4DC3-B713-DAC35D83E925}"/>
            </c:ext>
          </c:extLst>
        </c:ser>
        <c:ser>
          <c:idx val="2"/>
          <c:order val="2"/>
          <c:tx>
            <c:strRef>
              <c:f>'Dashboard Data'!$E$116</c:f>
              <c:strCache>
                <c:ptCount val="1"/>
                <c:pt idx="0">
                  <c:v>Target</c:v>
                </c:pt>
              </c:strCache>
            </c:strRef>
          </c:tx>
          <c:spPr>
            <a:solidFill>
              <a:schemeClr val="accent3"/>
            </a:solidFill>
            <a:ln>
              <a:noFill/>
            </a:ln>
            <a:effectLst/>
          </c:spPr>
          <c:invertIfNegative val="0"/>
          <c:cat>
            <c:numRef>
              <c:f>'Dashboard Data'!$B$117:$B$120</c:f>
              <c:numCache>
                <c:formatCode>General</c:formatCode>
                <c:ptCount val="4"/>
                <c:pt idx="0">
                  <c:v>2023</c:v>
                </c:pt>
                <c:pt idx="1">
                  <c:v>2024</c:v>
                </c:pt>
                <c:pt idx="2">
                  <c:v>2025</c:v>
                </c:pt>
                <c:pt idx="3">
                  <c:v>2026</c:v>
                </c:pt>
              </c:numCache>
            </c:numRef>
          </c:cat>
          <c:val>
            <c:numRef>
              <c:f>'Dashboard Data'!$E$117:$E$120</c:f>
              <c:numCache>
                <c:formatCode>#,##0.000</c:formatCode>
                <c:ptCount val="4"/>
                <c:pt idx="1">
                  <c:v>0.24056945862219514</c:v>
                </c:pt>
                <c:pt idx="2">
                  <c:v>0.21123171976582988</c:v>
                </c:pt>
                <c:pt idx="3">
                  <c:v>0.18658801912648307</c:v>
                </c:pt>
              </c:numCache>
            </c:numRef>
          </c:val>
          <c:extLst>
            <c:ext xmlns:c16="http://schemas.microsoft.com/office/drawing/2014/chart" uri="{C3380CC4-5D6E-409C-BE32-E72D297353CC}">
              <c16:uniqueId val="{00000002-1D8A-4DC3-B713-DAC35D83E925}"/>
            </c:ext>
          </c:extLst>
        </c:ser>
        <c:dLbls>
          <c:showLegendKey val="0"/>
          <c:showVal val="0"/>
          <c:showCatName val="0"/>
          <c:showSerName val="0"/>
          <c:showPercent val="0"/>
          <c:showBubbleSize val="0"/>
        </c:dLbls>
        <c:gapWidth val="219"/>
        <c:overlap val="-27"/>
        <c:axId val="34496832"/>
        <c:axId val="938692176"/>
        <c:extLst>
          <c:ext xmlns:c15="http://schemas.microsoft.com/office/drawing/2012/chart" uri="{02D57815-91ED-43cb-92C2-25804820EDAC}">
            <c15:filteredBarSeries>
              <c15:ser>
                <c:idx val="3"/>
                <c:order val="3"/>
                <c:tx>
                  <c:strRef>
                    <c:extLst>
                      <c:ext uri="{02D57815-91ED-43cb-92C2-25804820EDAC}">
                        <c15:formulaRef>
                          <c15:sqref>'Dashboard Data'!$F$116</c15:sqref>
                        </c15:formulaRef>
                      </c:ext>
                    </c:extLst>
                    <c:strCache>
                      <c:ptCount val="1"/>
                    </c:strCache>
                  </c:strRef>
                </c:tx>
                <c:spPr>
                  <a:solidFill>
                    <a:schemeClr val="accent4"/>
                  </a:solidFill>
                  <a:ln>
                    <a:noFill/>
                  </a:ln>
                  <a:effectLst/>
                </c:spPr>
                <c:invertIfNegative val="0"/>
                <c:cat>
                  <c:numRef>
                    <c:extLst>
                      <c:ext uri="{02D57815-91ED-43cb-92C2-25804820EDAC}">
                        <c15:formulaRef>
                          <c15:sqref>'Dashboard Data'!$B$117:$B$120</c15:sqref>
                        </c15:formulaRef>
                      </c:ext>
                    </c:extLst>
                    <c:numCache>
                      <c:formatCode>General</c:formatCode>
                      <c:ptCount val="4"/>
                      <c:pt idx="0">
                        <c:v>2023</c:v>
                      </c:pt>
                      <c:pt idx="1">
                        <c:v>2024</c:v>
                      </c:pt>
                      <c:pt idx="2">
                        <c:v>2025</c:v>
                      </c:pt>
                      <c:pt idx="3">
                        <c:v>2026</c:v>
                      </c:pt>
                    </c:numCache>
                  </c:numRef>
                </c:cat>
                <c:val>
                  <c:numRef>
                    <c:extLst>
                      <c:ext uri="{02D57815-91ED-43cb-92C2-25804820EDAC}">
                        <c15:formulaRef>
                          <c15:sqref>'Dashboard Data'!$F$117:$F$120</c15:sqref>
                        </c15:formulaRef>
                      </c:ext>
                    </c:extLst>
                    <c:numCache>
                      <c:formatCode>General</c:formatCode>
                      <c:ptCount val="4"/>
                    </c:numCache>
                  </c:numRef>
                </c:val>
                <c:extLst>
                  <c:ext xmlns:c16="http://schemas.microsoft.com/office/drawing/2014/chart" uri="{C3380CC4-5D6E-409C-BE32-E72D297353CC}">
                    <c16:uniqueId val="{00000003-1D8A-4DC3-B713-DAC35D83E925}"/>
                  </c:ext>
                </c:extLst>
              </c15:ser>
            </c15:filteredBarSeries>
          </c:ext>
        </c:extLst>
      </c:barChart>
      <c:catAx>
        <c:axId val="34496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8692176"/>
        <c:crosses val="autoZero"/>
        <c:auto val="1"/>
        <c:lblAlgn val="ctr"/>
        <c:lblOffset val="100"/>
        <c:noMultiLvlLbl val="0"/>
      </c:catAx>
      <c:valAx>
        <c:axId val="938692176"/>
        <c:scaling>
          <c:orientation val="minMax"/>
        </c:scaling>
        <c:delete val="0"/>
        <c:axPos val="l"/>
        <c:majorGridlines>
          <c:spPr>
            <a:ln w="9525" cap="flat" cmpd="sng" algn="ctr">
              <a:solidFill>
                <a:schemeClr val="tx1">
                  <a:lumMod val="15000"/>
                  <a:lumOff val="85000"/>
                </a:schemeClr>
              </a:solidFill>
              <a:round/>
            </a:ln>
            <a:effectLst/>
          </c:spPr>
        </c:majorGridlines>
        <c:numFmt formatCode="_(* #,##0.000_);_(* \(#,##0.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96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'Dashboard Data'!$C$128</c:f>
              <c:strCache>
                <c:ptCount val="1"/>
                <c:pt idx="0">
                  <c:v> Baseline </c:v>
                </c:pt>
              </c:strCache>
            </c:strRef>
          </c:tx>
          <c:spPr>
            <a:solidFill>
              <a:schemeClr val="accent1"/>
            </a:solidFill>
            <a:ln>
              <a:noFill/>
            </a:ln>
            <a:effectLst/>
          </c:spPr>
          <c:invertIfNegative val="0"/>
          <c:cat>
            <c:numRef>
              <c:f>'Dashboard Data'!$B$129:$B$132</c:f>
              <c:numCache>
                <c:formatCode>General</c:formatCode>
                <c:ptCount val="4"/>
                <c:pt idx="0">
                  <c:v>2023</c:v>
                </c:pt>
                <c:pt idx="1">
                  <c:v>2024</c:v>
                </c:pt>
                <c:pt idx="2">
                  <c:v>2025</c:v>
                </c:pt>
                <c:pt idx="3">
                  <c:v>2026</c:v>
                </c:pt>
              </c:numCache>
            </c:numRef>
          </c:cat>
          <c:val>
            <c:numRef>
              <c:f>'Dashboard Data'!$C$129:$C$132</c:f>
              <c:numCache>
                <c:formatCode>General</c:formatCode>
                <c:ptCount val="4"/>
                <c:pt idx="0" formatCode="_(* #,##0.000_);_(* \(#,##0.000\);_(* &quot;-&quot;??_);_(@_)">
                  <c:v>4.3476368159203984</c:v>
                </c:pt>
              </c:numCache>
            </c:numRef>
          </c:val>
          <c:extLst>
            <c:ext xmlns:c16="http://schemas.microsoft.com/office/drawing/2014/chart" uri="{C3380CC4-5D6E-409C-BE32-E72D297353CC}">
              <c16:uniqueId val="{00000000-9370-4FC0-8EE2-699A6B7654D0}"/>
            </c:ext>
          </c:extLst>
        </c:ser>
        <c:ser>
          <c:idx val="1"/>
          <c:order val="1"/>
          <c:tx>
            <c:strRef>
              <c:f>'Dashboard Data'!$D$128</c:f>
              <c:strCache>
                <c:ptCount val="1"/>
                <c:pt idx="0">
                  <c:v>Actual</c:v>
                </c:pt>
              </c:strCache>
            </c:strRef>
          </c:tx>
          <c:spPr>
            <a:solidFill>
              <a:schemeClr val="accent2"/>
            </a:solidFill>
            <a:ln>
              <a:noFill/>
            </a:ln>
            <a:effectLst/>
          </c:spPr>
          <c:invertIfNegative val="0"/>
          <c:cat>
            <c:numRef>
              <c:f>'Dashboard Data'!$B$129:$B$132</c:f>
              <c:numCache>
                <c:formatCode>General</c:formatCode>
                <c:ptCount val="4"/>
                <c:pt idx="0">
                  <c:v>2023</c:v>
                </c:pt>
                <c:pt idx="1">
                  <c:v>2024</c:v>
                </c:pt>
                <c:pt idx="2">
                  <c:v>2025</c:v>
                </c:pt>
                <c:pt idx="3">
                  <c:v>2026</c:v>
                </c:pt>
              </c:numCache>
            </c:numRef>
          </c:cat>
          <c:val>
            <c:numRef>
              <c:f>'Dashboard Data'!$D$129:$D$132</c:f>
              <c:numCache>
                <c:formatCode>#,##0</c:formatCode>
                <c:ptCount val="4"/>
                <c:pt idx="1">
                  <c:v>0</c:v>
                </c:pt>
              </c:numCache>
            </c:numRef>
          </c:val>
          <c:extLst>
            <c:ext xmlns:c16="http://schemas.microsoft.com/office/drawing/2014/chart" uri="{C3380CC4-5D6E-409C-BE32-E72D297353CC}">
              <c16:uniqueId val="{00000001-9370-4FC0-8EE2-699A6B7654D0}"/>
            </c:ext>
          </c:extLst>
        </c:ser>
        <c:ser>
          <c:idx val="2"/>
          <c:order val="2"/>
          <c:tx>
            <c:strRef>
              <c:f>'Dashboard Data'!$E$128</c:f>
              <c:strCache>
                <c:ptCount val="1"/>
                <c:pt idx="0">
                  <c:v>Target</c:v>
                </c:pt>
              </c:strCache>
            </c:strRef>
          </c:tx>
          <c:spPr>
            <a:solidFill>
              <a:schemeClr val="accent3"/>
            </a:solidFill>
            <a:ln>
              <a:noFill/>
            </a:ln>
            <a:effectLst/>
          </c:spPr>
          <c:invertIfNegative val="0"/>
          <c:cat>
            <c:numRef>
              <c:f>'Dashboard Data'!$B$129:$B$132</c:f>
              <c:numCache>
                <c:formatCode>General</c:formatCode>
                <c:ptCount val="4"/>
                <c:pt idx="0">
                  <c:v>2023</c:v>
                </c:pt>
                <c:pt idx="1">
                  <c:v>2024</c:v>
                </c:pt>
                <c:pt idx="2">
                  <c:v>2025</c:v>
                </c:pt>
                <c:pt idx="3">
                  <c:v>2026</c:v>
                </c:pt>
              </c:numCache>
            </c:numRef>
          </c:cat>
          <c:val>
            <c:numRef>
              <c:f>'Dashboard Data'!$E$129:$E$132</c:f>
              <c:numCache>
                <c:formatCode>#,##0.000</c:formatCode>
                <c:ptCount val="4"/>
                <c:pt idx="1">
                  <c:v>3.8041822139303481</c:v>
                </c:pt>
                <c:pt idx="2">
                  <c:v>3.5324549129353233</c:v>
                </c:pt>
                <c:pt idx="3">
                  <c:v>3.1248639614427858</c:v>
                </c:pt>
              </c:numCache>
            </c:numRef>
          </c:val>
          <c:extLst>
            <c:ext xmlns:c16="http://schemas.microsoft.com/office/drawing/2014/chart" uri="{C3380CC4-5D6E-409C-BE32-E72D297353CC}">
              <c16:uniqueId val="{00000002-9370-4FC0-8EE2-699A6B7654D0}"/>
            </c:ext>
          </c:extLst>
        </c:ser>
        <c:dLbls>
          <c:showLegendKey val="0"/>
          <c:showVal val="0"/>
          <c:showCatName val="0"/>
          <c:showSerName val="0"/>
          <c:showPercent val="0"/>
          <c:showBubbleSize val="0"/>
        </c:dLbls>
        <c:gapWidth val="219"/>
        <c:overlap val="-27"/>
        <c:axId val="447649760"/>
        <c:axId val="1493230672"/>
      </c:barChart>
      <c:catAx>
        <c:axId val="447649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3230672"/>
        <c:crosses val="autoZero"/>
        <c:auto val="1"/>
        <c:lblAlgn val="ctr"/>
        <c:lblOffset val="100"/>
        <c:noMultiLvlLbl val="0"/>
      </c:catAx>
      <c:valAx>
        <c:axId val="1493230672"/>
        <c:scaling>
          <c:orientation val="minMax"/>
        </c:scaling>
        <c:delete val="0"/>
        <c:axPos val="l"/>
        <c:majorGridlines>
          <c:spPr>
            <a:ln w="9525" cap="flat" cmpd="sng" algn="ctr">
              <a:solidFill>
                <a:schemeClr val="tx1">
                  <a:lumMod val="15000"/>
                  <a:lumOff val="85000"/>
                </a:schemeClr>
              </a:solidFill>
              <a:round/>
            </a:ln>
            <a:effectLst/>
          </c:spPr>
        </c:majorGridlines>
        <c:numFmt formatCode="_(* #,##0.000_);_(* \(#,##0.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649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Sustainability Dashboard'!A1"/></Relationships>
</file>

<file path=xl/drawings/_rels/drawing2.xml.rels><?xml version="1.0" encoding="UTF-8" standalone="yes"?>
<Relationships xmlns="http://schemas.openxmlformats.org/package/2006/relationships"><Relationship Id="rId8" Type="http://schemas.openxmlformats.org/officeDocument/2006/relationships/hyperlink" Target="#'Water-Sum'!A1"/><Relationship Id="rId13" Type="http://schemas.openxmlformats.org/officeDocument/2006/relationships/hyperlink" Target="#Material!A1"/><Relationship Id="rId18" Type="http://schemas.openxmlformats.org/officeDocument/2006/relationships/image" Target="../media/image5.jpg"/><Relationship Id="rId3" Type="http://schemas.openxmlformats.org/officeDocument/2006/relationships/image" Target="../media/image3.png"/><Relationship Id="rId21" Type="http://schemas.openxmlformats.org/officeDocument/2006/relationships/image" Target="../media/image7.png"/><Relationship Id="rId7" Type="http://schemas.openxmlformats.org/officeDocument/2006/relationships/hyperlink" Target="#Climate!A1"/><Relationship Id="rId12" Type="http://schemas.openxmlformats.org/officeDocument/2006/relationships/hyperlink" Target="#Product!A1"/><Relationship Id="rId17" Type="http://schemas.openxmlformats.org/officeDocument/2006/relationships/hyperlink" Target="#Impacts!A1"/><Relationship Id="rId25" Type="http://schemas.openxmlformats.org/officeDocument/2006/relationships/hyperlink" Target="#'Team Identity Card'!A1"/><Relationship Id="rId2" Type="http://schemas.openxmlformats.org/officeDocument/2006/relationships/hyperlink" Target="#'Data Entry CheckList'!A1"/><Relationship Id="rId16" Type="http://schemas.openxmlformats.org/officeDocument/2006/relationships/hyperlink" Target="#'Environmental-Grievance'!A1"/><Relationship Id="rId20" Type="http://schemas.openxmlformats.org/officeDocument/2006/relationships/image" Target="../media/image6.jpeg"/><Relationship Id="rId1" Type="http://schemas.openxmlformats.org/officeDocument/2006/relationships/image" Target="../media/image2.png"/><Relationship Id="rId6" Type="http://schemas.openxmlformats.org/officeDocument/2006/relationships/hyperlink" Target="#Production!A1"/><Relationship Id="rId11" Type="http://schemas.openxmlformats.org/officeDocument/2006/relationships/hyperlink" Target="#Waste!A1"/><Relationship Id="rId24" Type="http://schemas.openxmlformats.org/officeDocument/2006/relationships/image" Target="../media/image9.svg"/><Relationship Id="rId5" Type="http://schemas.openxmlformats.org/officeDocument/2006/relationships/hyperlink" Target="#People!A1"/><Relationship Id="rId15" Type="http://schemas.openxmlformats.org/officeDocument/2006/relationships/hyperlink" Target="#'Environmental Cost'!A1"/><Relationship Id="rId23" Type="http://schemas.openxmlformats.org/officeDocument/2006/relationships/image" Target="../media/image8.png"/><Relationship Id="rId10" Type="http://schemas.openxmlformats.org/officeDocument/2006/relationships/hyperlink" Target="#Energy!A1"/><Relationship Id="rId19" Type="http://schemas.openxmlformats.org/officeDocument/2006/relationships/hyperlink" Target="#'Sustainability Performance'!A1"/><Relationship Id="rId4" Type="http://schemas.openxmlformats.org/officeDocument/2006/relationships/image" Target="../media/image4.svg"/><Relationship Id="rId9" Type="http://schemas.openxmlformats.org/officeDocument/2006/relationships/hyperlink" Target="#'GHG calculations'!A1"/><Relationship Id="rId14" Type="http://schemas.openxmlformats.org/officeDocument/2006/relationships/hyperlink" Target="#Packaging!A1"/><Relationship Id="rId22" Type="http://schemas.openxmlformats.org/officeDocument/2006/relationships/hyperlink" Target="#'Graphical Dashboard -F'!A1"/></Relationships>
</file>

<file path=xl/drawings/_rels/drawing3.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image" Target="../media/image13.png"/><Relationship Id="rId3" Type="http://schemas.openxmlformats.org/officeDocument/2006/relationships/image" Target="../media/image12.svg"/><Relationship Id="rId7" Type="http://schemas.openxmlformats.org/officeDocument/2006/relationships/chart" Target="../charts/chart4.xml"/><Relationship Id="rId12" Type="http://schemas.openxmlformats.org/officeDocument/2006/relationships/chart" Target="../charts/chart9.xml"/><Relationship Id="rId2" Type="http://schemas.openxmlformats.org/officeDocument/2006/relationships/image" Target="../media/image11.png"/><Relationship Id="rId16" Type="http://schemas.openxmlformats.org/officeDocument/2006/relationships/image" Target="../media/image15.png"/><Relationship Id="rId1" Type="http://schemas.openxmlformats.org/officeDocument/2006/relationships/image" Target="../media/image10.png"/><Relationship Id="rId6" Type="http://schemas.openxmlformats.org/officeDocument/2006/relationships/chart" Target="../charts/chart3.xml"/><Relationship Id="rId11" Type="http://schemas.openxmlformats.org/officeDocument/2006/relationships/chart" Target="../charts/chart8.xml"/><Relationship Id="rId5" Type="http://schemas.openxmlformats.org/officeDocument/2006/relationships/chart" Target="../charts/chart2.xml"/><Relationship Id="rId15" Type="http://schemas.openxmlformats.org/officeDocument/2006/relationships/hyperlink" Target="#'Sustainability Dashboard'!A1"/><Relationship Id="rId10" Type="http://schemas.openxmlformats.org/officeDocument/2006/relationships/chart" Target="../charts/chart7.xml"/><Relationship Id="rId4" Type="http://schemas.openxmlformats.org/officeDocument/2006/relationships/chart" Target="../charts/chart1.xml"/><Relationship Id="rId9" Type="http://schemas.openxmlformats.org/officeDocument/2006/relationships/chart" Target="../charts/chart6.xml"/><Relationship Id="rId14" Type="http://schemas.openxmlformats.org/officeDocument/2006/relationships/image" Target="../media/image14.svg"/></Relationships>
</file>

<file path=xl/drawings/_rels/drawing4.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8.xml"/></Relationships>
</file>

<file path=xl/drawings/_rels/drawing5.xml.rels><?xml version="1.0" encoding="UTF-8" standalone="yes"?>
<Relationships xmlns="http://schemas.openxmlformats.org/package/2006/relationships"><Relationship Id="rId3" Type="http://schemas.openxmlformats.org/officeDocument/2006/relationships/hyperlink" Target="#'Data Entry CheckList'!A1"/><Relationship Id="rId2" Type="http://schemas.openxmlformats.org/officeDocument/2006/relationships/image" Target="../media/image15.png"/><Relationship Id="rId1" Type="http://schemas.openxmlformats.org/officeDocument/2006/relationships/hyperlink" Target="#'Sustainability Dashboard'!A1"/></Relationships>
</file>

<file path=xl/drawings/_rels/drawing6.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hyperlink" Target="#'Sustainability Dashboard'!A1"/></Relationships>
</file>

<file path=xl/drawings/_rels/drawing7.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hyperlink" Target="#'Sustainability Dashboard'!A1"/></Relationships>
</file>

<file path=xl/drawings/_rels/drawing8.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hyperlink" Target="#'Sustainability Dashboard'!A1"/><Relationship Id="rId1" Type="http://schemas.openxmlformats.org/officeDocument/2006/relationships/hyperlink" Target="#'Data Entry CheckList'!A1"/></Relationships>
</file>

<file path=xl/drawings/_rels/drawing9.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hyperlink" Target="#'Sustainability Dashboard'!A1"/><Relationship Id="rId1" Type="http://schemas.openxmlformats.org/officeDocument/2006/relationships/hyperlink" Target="#'Data Entry CheckList'!A1"/></Relationships>
</file>

<file path=xl/drawings/_rels/drawing10.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hyperlink" Target="#'Sustainability Dashboard'!A1"/></Relationships>
</file>

<file path=xl/drawings/_rels/drawing11.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hyperlink" Target="#'Cat-1'!A1"/><Relationship Id="rId7"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hyperlink" Target="#'Sustainability Dashboard'!A1"/><Relationship Id="rId6" Type="http://schemas.openxmlformats.org/officeDocument/2006/relationships/hyperlink" Target="#'Cat-4'!A1"/><Relationship Id="rId5" Type="http://schemas.openxmlformats.org/officeDocument/2006/relationships/hyperlink" Target="#'Cat-3'!A1"/><Relationship Id="rId4" Type="http://schemas.openxmlformats.org/officeDocument/2006/relationships/hyperlink" Target="#'Cat-2'!A1"/><Relationship Id="rId9" Type="http://schemas.openxmlformats.org/officeDocument/2006/relationships/image" Target="../media/image24.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hyperlink" Target="#'Sustainability Dashboard'!A1"/></Relationships>
</file>

<file path=xl/drawings/_rels/drawing13.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hyperlink" Target="#'Sustainability Dashboard'!A1"/></Relationships>
</file>

<file path=xl/drawings/_rels/drawing14.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hyperlink" Target="#'Sustainability Dashboard'!A1"/></Relationships>
</file>

<file path=xl/drawings/_rels/drawing15.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hyperlink" Target="#'Sustainability Dashboard'!A1"/></Relationships>
</file>

<file path=xl/drawings/_rels/drawing16.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hyperlink" Target="#'Sustainability Dashboard'!A1"/></Relationships>
</file>

<file path=xl/drawings/_rels/drawing17.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hyperlink" Target="#'Sustainability Dashboard'!A1"/><Relationship Id="rId1" Type="http://schemas.openxmlformats.org/officeDocument/2006/relationships/hyperlink" Target="#'Data Entry CheckList'!A1"/></Relationships>
</file>

<file path=xl/drawings/_rels/drawing1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hyperlink" Target="#'Sustainability Dashboard'!A1"/><Relationship Id="rId1" Type="http://schemas.openxmlformats.org/officeDocument/2006/relationships/hyperlink" Target="#'Data Entry CheckList'!A1"/></Relationships>
</file>

<file path=xl/drawings/_rels/drawing19.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hyperlink" Target="#'Sustainability Dashboard'!A1"/><Relationship Id="rId1" Type="http://schemas.openxmlformats.org/officeDocument/2006/relationships/hyperlink" Target="#'Data Entry CheckList'!A1"/></Relationships>
</file>

<file path=xl/drawings/_rels/drawing20.xml.rels><?xml version="1.0" encoding="UTF-8" standalone="yes"?>
<Relationships xmlns="http://schemas.openxmlformats.org/package/2006/relationships"><Relationship Id="rId2" Type="http://schemas.openxmlformats.org/officeDocument/2006/relationships/hyperlink" Target="#'GHG calculations'!A1"/><Relationship Id="rId1" Type="http://schemas.openxmlformats.org/officeDocument/2006/relationships/hyperlink" Target="#'Data Entry CheckList'!A1"/></Relationships>
</file>

<file path=xl/drawings/_rels/drawing21.xml.rels><?xml version="1.0" encoding="UTF-8" standalone="yes"?>
<Relationships xmlns="http://schemas.openxmlformats.org/package/2006/relationships"><Relationship Id="rId1" Type="http://schemas.openxmlformats.org/officeDocument/2006/relationships/hyperlink" Target="#'GHG calculations'!A1"/></Relationships>
</file>

<file path=xl/drawings/_rels/drawing22.xml.rels><?xml version="1.0" encoding="UTF-8" standalone="yes"?>
<Relationships xmlns="http://schemas.openxmlformats.org/package/2006/relationships"><Relationship Id="rId2" Type="http://schemas.openxmlformats.org/officeDocument/2006/relationships/hyperlink" Target="#'GHG calculations'!A1"/><Relationship Id="rId1" Type="http://schemas.openxmlformats.org/officeDocument/2006/relationships/hyperlink" Target="#'Data Entry CheckList'!A1"/></Relationships>
</file>

<file path=xl/drawings/_rels/drawing23.xml.rels><?xml version="1.0" encoding="UTF-8" standalone="yes"?>
<Relationships xmlns="http://schemas.openxmlformats.org/package/2006/relationships"><Relationship Id="rId1" Type="http://schemas.openxmlformats.org/officeDocument/2006/relationships/hyperlink" Target="#'GHG calculations'!A1"/></Relationships>
</file>

<file path=xl/drawings/_rels/drawing24.xml.rels><?xml version="1.0" encoding="UTF-8" standalone="yes"?>
<Relationships xmlns="http://schemas.openxmlformats.org/package/2006/relationships"><Relationship Id="rId1" Type="http://schemas.openxmlformats.org/officeDocument/2006/relationships/hyperlink" Target="#'GHG calculations'!A1"/></Relationships>
</file>

<file path=xl/drawings/_rels/drawing25.xml.rels><?xml version="1.0" encoding="UTF-8" standalone="yes"?>
<Relationships xmlns="http://schemas.openxmlformats.org/package/2006/relationships"><Relationship Id="rId1" Type="http://schemas.openxmlformats.org/officeDocument/2006/relationships/hyperlink" Target="#'Data Entry CheckList'!A1"/></Relationships>
</file>

<file path=xl/drawings/_rels/drawing26.xml.rels><?xml version="1.0" encoding="UTF-8" standalone="yes"?>
<Relationships xmlns="http://schemas.openxmlformats.org/package/2006/relationships"><Relationship Id="rId1" Type="http://schemas.openxmlformats.org/officeDocument/2006/relationships/hyperlink" Target="#'Data Entry CheckList'!A1"/></Relationships>
</file>

<file path=xl/drawings/_rels/drawing27.xml.rels><?xml version="1.0" encoding="UTF-8" standalone="yes"?>
<Relationships xmlns="http://schemas.openxmlformats.org/package/2006/relationships"><Relationship Id="rId1" Type="http://schemas.openxmlformats.org/officeDocument/2006/relationships/hyperlink" Target="#'Data Entry CheckList'!A1"/></Relationships>
</file>

<file path=xl/drawings/_rels/drawing28.xml.rels><?xml version="1.0" encoding="UTF-8" standalone="yes"?>
<Relationships xmlns="http://schemas.openxmlformats.org/package/2006/relationships"><Relationship Id="rId1" Type="http://schemas.openxmlformats.org/officeDocument/2006/relationships/hyperlink" Target="#'Data Entry CheckList'!A1"/></Relationships>
</file>

<file path=xl/drawings/_rels/drawing29.xml.rels><?xml version="1.0" encoding="UTF-8" standalone="yes"?>
<Relationships xmlns="http://schemas.openxmlformats.org/package/2006/relationships"><Relationship Id="rId1" Type="http://schemas.openxmlformats.org/officeDocument/2006/relationships/hyperlink" Target="#'Data Entry CheckList'!A1"/></Relationships>
</file>

<file path=xl/drawings/_rels/drawing30.xml.rels><?xml version="1.0" encoding="UTF-8" standalone="yes"?>
<Relationships xmlns="http://schemas.openxmlformats.org/package/2006/relationships"><Relationship Id="rId1" Type="http://schemas.openxmlformats.org/officeDocument/2006/relationships/hyperlink" Target="#'Data Entry CheckList'!A1"/></Relationships>
</file>

<file path=xl/drawings/_rels/drawing31.xml.rels><?xml version="1.0" encoding="UTF-8" standalone="yes"?>
<Relationships xmlns="http://schemas.openxmlformats.org/package/2006/relationships"><Relationship Id="rId1" Type="http://schemas.openxmlformats.org/officeDocument/2006/relationships/hyperlink" Target="#'Data Entry CheckList'!A1"/></Relationships>
</file>

<file path=xl/drawings/_rels/drawing32.xml.rels><?xml version="1.0" encoding="UTF-8" standalone="yes"?>
<Relationships xmlns="http://schemas.openxmlformats.org/package/2006/relationships"><Relationship Id="rId1" Type="http://schemas.openxmlformats.org/officeDocument/2006/relationships/hyperlink" Target="#'Data Entry CheckList'!A1"/></Relationships>
</file>

<file path=xl/drawings/_rels/drawing33.xml.rels><?xml version="1.0" encoding="UTF-8" standalone="yes"?>
<Relationships xmlns="http://schemas.openxmlformats.org/package/2006/relationships"><Relationship Id="rId1" Type="http://schemas.openxmlformats.org/officeDocument/2006/relationships/hyperlink" Target="#'Data Entry CheckList'!A1"/></Relationships>
</file>

<file path=xl/drawings/_rels/drawing34.xml.rels><?xml version="1.0" encoding="UTF-8" standalone="yes"?>
<Relationships xmlns="http://schemas.openxmlformats.org/package/2006/relationships"><Relationship Id="rId1" Type="http://schemas.openxmlformats.org/officeDocument/2006/relationships/hyperlink" Target="#'Data Entry CheckList'!A1"/></Relationships>
</file>

<file path=xl/drawings/_rels/drawing35.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hyperlink" Target="#'Sustainability Dashboard'!A1"/></Relationships>
</file>

<file path=xl/drawings/_rels/drawing36.xml.rels><?xml version="1.0" encoding="UTF-8" standalone="yes"?>
<Relationships xmlns="http://schemas.openxmlformats.org/package/2006/relationships"><Relationship Id="rId1" Type="http://schemas.openxmlformats.org/officeDocument/2006/relationships/hyperlink" Target="#'Data Entry CheckList'!A1"/></Relationships>
</file>

<file path=xl/drawings/_rels/drawing37.xml.rels><?xml version="1.0" encoding="UTF-8" standalone="yes"?>
<Relationships xmlns="http://schemas.openxmlformats.org/package/2006/relationships"><Relationship Id="rId1" Type="http://schemas.openxmlformats.org/officeDocument/2006/relationships/hyperlink" Target="#'Data Entry CheckList'!A1"/></Relationships>
</file>

<file path=xl/drawings/_rels/drawing38.xml.rels><?xml version="1.0" encoding="UTF-8" standalone="yes"?>
<Relationships xmlns="http://schemas.openxmlformats.org/package/2006/relationships"><Relationship Id="rId1" Type="http://schemas.openxmlformats.org/officeDocument/2006/relationships/hyperlink" Target="#'Data Entry CheckList'!A1"/></Relationships>
</file>

<file path=xl/drawings/_rels/drawing39.xml.rels><?xml version="1.0" encoding="UTF-8" standalone="yes"?>
<Relationships xmlns="http://schemas.openxmlformats.org/package/2006/relationships"><Relationship Id="rId1" Type="http://schemas.openxmlformats.org/officeDocument/2006/relationships/hyperlink" Target="#'Data Entry CheckList'!A1"/></Relationships>
</file>

<file path=xl/drawings/_rels/drawing40.xml.rels><?xml version="1.0" encoding="UTF-8" standalone="yes"?>
<Relationships xmlns="http://schemas.openxmlformats.org/package/2006/relationships"><Relationship Id="rId1" Type="http://schemas.openxmlformats.org/officeDocument/2006/relationships/hyperlink" Target="#'Data Entry CheckList'!A1"/></Relationships>
</file>

<file path=xl/drawings/_rels/drawing41.xml.rels><?xml version="1.0" encoding="UTF-8" standalone="yes"?>
<Relationships xmlns="http://schemas.openxmlformats.org/package/2006/relationships"><Relationship Id="rId1" Type="http://schemas.openxmlformats.org/officeDocument/2006/relationships/hyperlink" Target="#'Data Entry CheckList'!A1"/></Relationships>
</file>

<file path=xl/drawings/_rels/drawing42.xml.rels><?xml version="1.0" encoding="UTF-8" standalone="yes"?>
<Relationships xmlns="http://schemas.openxmlformats.org/package/2006/relationships"><Relationship Id="rId1" Type="http://schemas.openxmlformats.org/officeDocument/2006/relationships/hyperlink" Target="#'Data Entry CheckList'!A1"/></Relationships>
</file>

<file path=xl/drawings/_rels/drawing43.xml.rels><?xml version="1.0" encoding="UTF-8" standalone="yes"?>
<Relationships xmlns="http://schemas.openxmlformats.org/package/2006/relationships"><Relationship Id="rId1" Type="http://schemas.openxmlformats.org/officeDocument/2006/relationships/hyperlink" Target="#'Data Entry CheckList'!A1"/></Relationships>
</file>

<file path=xl/drawings/_rels/drawing44.xml.rels><?xml version="1.0" encoding="UTF-8" standalone="yes"?>
<Relationships xmlns="http://schemas.openxmlformats.org/package/2006/relationships"><Relationship Id="rId1" Type="http://schemas.openxmlformats.org/officeDocument/2006/relationships/hyperlink" Target="#'Data Entry CheckList'!A1"/></Relationships>
</file>

<file path=xl/drawings/drawing1.xml><?xml version="1.0" encoding="utf-8"?>
<xdr:wsDr xmlns:xdr="http://schemas.openxmlformats.org/drawingml/2006/spreadsheetDrawing" xmlns:a="http://schemas.openxmlformats.org/drawingml/2006/main">
  <xdr:twoCellAnchor>
    <xdr:from>
      <xdr:col>4</xdr:col>
      <xdr:colOff>438150</xdr:colOff>
      <xdr:row>2</xdr:row>
      <xdr:rowOff>200025</xdr:rowOff>
    </xdr:from>
    <xdr:to>
      <xdr:col>5</xdr:col>
      <xdr:colOff>714375</xdr:colOff>
      <xdr:row>3</xdr:row>
      <xdr:rowOff>57150</xdr:rowOff>
    </xdr:to>
    <xdr:sp macro="" textlink="">
      <xdr:nvSpPr>
        <xdr:cNvPr id="2" name="Text Box 8">
          <a:extLst>
            <a:ext uri="{FF2B5EF4-FFF2-40B4-BE49-F238E27FC236}">
              <a16:creationId xmlns:a16="http://schemas.microsoft.com/office/drawing/2014/main" id="{F151013D-FCF1-46C1-A35E-E364B08F2768}"/>
            </a:ext>
          </a:extLst>
        </xdr:cNvPr>
        <xdr:cNvSpPr txBox="1">
          <a:spLocks noChangeArrowheads="1"/>
        </xdr:cNvSpPr>
      </xdr:nvSpPr>
      <xdr:spPr bwMode="auto">
        <a:xfrm>
          <a:off x="4305300" y="1019175"/>
          <a:ext cx="1181100" cy="171450"/>
        </a:xfrm>
        <a:prstGeom prst="rect">
          <a:avLst/>
        </a:prstGeom>
        <a:noFill/>
        <a:ln>
          <a:noFill/>
        </a:ln>
        <a:extLst>
          <a:ext uri="{909E8E84-426E-40DD-AFC4-6F175D3DCCD1}">
            <a14:hiddenFill xmlns:a14="http://schemas.microsoft.com/office/drawing/2010/main">
              <a:solidFill>
                <a:srgbClr xmlns:mc="http://schemas.openxmlformats.org/markup-compatibility/2006" val="FFFF99" mc:Ignorable="a14" a14:legacySpreadsheetColorIndex="43"/>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72000" tIns="0" rIns="72000" bIns="0" anchor="ctr" upright="1"/>
        <a:lstStyle/>
        <a:p>
          <a:pPr algn="l" rtl="0">
            <a:defRPr sz="1000"/>
          </a:pPr>
          <a:r>
            <a:rPr lang="en-US" sz="1100" b="0" i="0" u="none" strike="noStrike" baseline="0">
              <a:solidFill>
                <a:srgbClr val="000000"/>
              </a:solidFill>
              <a:latin typeface="Arial"/>
              <a:cs typeface="Arial"/>
            </a:rPr>
            <a:t>Closed</a:t>
          </a:r>
          <a:endParaRPr lang="en-US"/>
        </a:p>
      </xdr:txBody>
    </xdr:sp>
    <xdr:clientData/>
  </xdr:twoCellAnchor>
  <xdr:twoCellAnchor>
    <xdr:from>
      <xdr:col>7</xdr:col>
      <xdr:colOff>581025</xdr:colOff>
      <xdr:row>2</xdr:row>
      <xdr:rowOff>219075</xdr:rowOff>
    </xdr:from>
    <xdr:to>
      <xdr:col>8</xdr:col>
      <xdr:colOff>457200</xdr:colOff>
      <xdr:row>3</xdr:row>
      <xdr:rowOff>76200</xdr:rowOff>
    </xdr:to>
    <xdr:sp macro="" textlink="">
      <xdr:nvSpPr>
        <xdr:cNvPr id="3" name="Text Box 9">
          <a:extLst>
            <a:ext uri="{FF2B5EF4-FFF2-40B4-BE49-F238E27FC236}">
              <a16:creationId xmlns:a16="http://schemas.microsoft.com/office/drawing/2014/main" id="{A041FDB6-A8ED-4C02-AF9A-F1850797F161}"/>
            </a:ext>
          </a:extLst>
        </xdr:cNvPr>
        <xdr:cNvSpPr txBox="1">
          <a:spLocks noChangeArrowheads="1"/>
        </xdr:cNvSpPr>
      </xdr:nvSpPr>
      <xdr:spPr bwMode="auto">
        <a:xfrm>
          <a:off x="7448550" y="1038225"/>
          <a:ext cx="1066800" cy="171450"/>
        </a:xfrm>
        <a:prstGeom prst="rect">
          <a:avLst/>
        </a:prstGeom>
        <a:noFill/>
        <a:ln>
          <a:noFill/>
        </a:ln>
        <a:extLst>
          <a:ext uri="{909E8E84-426E-40DD-AFC4-6F175D3DCCD1}">
            <a14:hiddenFill xmlns:a14="http://schemas.microsoft.com/office/drawing/2010/main">
              <a:solidFill>
                <a:srgbClr xmlns:mc="http://schemas.openxmlformats.org/markup-compatibility/2006" val="FFFF99" mc:Ignorable="a14" a14:legacySpreadsheetColorIndex="43"/>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72000" tIns="0" rIns="72000" bIns="0" anchor="ctr" upright="1"/>
        <a:lstStyle/>
        <a:p>
          <a:pPr algn="l" rtl="0">
            <a:defRPr sz="1000"/>
          </a:pPr>
          <a:r>
            <a:rPr lang="en-US" sz="1100" b="0" i="0" u="none" strike="noStrike" baseline="0">
              <a:solidFill>
                <a:srgbClr val="000000"/>
              </a:solidFill>
              <a:latin typeface="Arial"/>
              <a:cs typeface="Arial"/>
            </a:rPr>
            <a:t>Forecast</a:t>
          </a:r>
          <a:endParaRPr lang="en-US"/>
        </a:p>
      </xdr:txBody>
    </xdr:sp>
    <xdr:clientData/>
  </xdr:twoCellAnchor>
  <xdr:twoCellAnchor>
    <xdr:from>
      <xdr:col>6</xdr:col>
      <xdr:colOff>295275</xdr:colOff>
      <xdr:row>2</xdr:row>
      <xdr:rowOff>200025</xdr:rowOff>
    </xdr:from>
    <xdr:to>
      <xdr:col>7</xdr:col>
      <xdr:colOff>171450</xdr:colOff>
      <xdr:row>3</xdr:row>
      <xdr:rowOff>47625</xdr:rowOff>
    </xdr:to>
    <xdr:sp macro="" textlink="">
      <xdr:nvSpPr>
        <xdr:cNvPr id="4" name="Text Box 10">
          <a:extLst>
            <a:ext uri="{FF2B5EF4-FFF2-40B4-BE49-F238E27FC236}">
              <a16:creationId xmlns:a16="http://schemas.microsoft.com/office/drawing/2014/main" id="{65591032-5F18-44A2-AD31-51702DF6F420}"/>
            </a:ext>
          </a:extLst>
        </xdr:cNvPr>
        <xdr:cNvSpPr txBox="1">
          <a:spLocks noChangeArrowheads="1"/>
        </xdr:cNvSpPr>
      </xdr:nvSpPr>
      <xdr:spPr bwMode="auto">
        <a:xfrm>
          <a:off x="5972175" y="1019175"/>
          <a:ext cx="1066800" cy="161925"/>
        </a:xfrm>
        <a:prstGeom prst="rect">
          <a:avLst/>
        </a:prstGeom>
        <a:noFill/>
        <a:ln>
          <a:noFill/>
        </a:ln>
        <a:extLst>
          <a:ext uri="{909E8E84-426E-40DD-AFC4-6F175D3DCCD1}">
            <a14:hiddenFill xmlns:a14="http://schemas.microsoft.com/office/drawing/2010/main">
              <a:solidFill>
                <a:srgbClr xmlns:mc="http://schemas.openxmlformats.org/markup-compatibility/2006" val="FFFF99" mc:Ignorable="a14" a14:legacySpreadsheetColorIndex="43"/>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72000" tIns="0" rIns="72000" bIns="0" anchor="ctr" upright="1"/>
        <a:lstStyle/>
        <a:p>
          <a:pPr algn="l" rtl="0">
            <a:defRPr sz="1000"/>
          </a:pPr>
          <a:r>
            <a:rPr lang="en-US" sz="1100" b="0" i="0" u="none" strike="noStrike" baseline="0">
              <a:solidFill>
                <a:srgbClr val="000000"/>
              </a:solidFill>
              <a:latin typeface="Arial"/>
              <a:cs typeface="Arial"/>
            </a:rPr>
            <a:t>Stopped</a:t>
          </a:r>
          <a:endParaRPr lang="en-US"/>
        </a:p>
      </xdr:txBody>
    </xdr:sp>
    <xdr:clientData/>
  </xdr:twoCellAnchor>
  <xdr:twoCellAnchor>
    <xdr:from>
      <xdr:col>3</xdr:col>
      <xdr:colOff>1695450</xdr:colOff>
      <xdr:row>2</xdr:row>
      <xdr:rowOff>219075</xdr:rowOff>
    </xdr:from>
    <xdr:to>
      <xdr:col>4</xdr:col>
      <xdr:colOff>428625</xdr:colOff>
      <xdr:row>3</xdr:row>
      <xdr:rowOff>76200</xdr:rowOff>
    </xdr:to>
    <xdr:sp macro="" textlink="">
      <xdr:nvSpPr>
        <xdr:cNvPr id="5" name="Text Box 11">
          <a:extLst>
            <a:ext uri="{FF2B5EF4-FFF2-40B4-BE49-F238E27FC236}">
              <a16:creationId xmlns:a16="http://schemas.microsoft.com/office/drawing/2014/main" id="{9708FBB1-921A-4046-878C-3E0E345FFAF7}"/>
            </a:ext>
          </a:extLst>
        </xdr:cNvPr>
        <xdr:cNvSpPr txBox="1">
          <a:spLocks noChangeArrowheads="1"/>
        </xdr:cNvSpPr>
      </xdr:nvSpPr>
      <xdr:spPr bwMode="auto">
        <a:xfrm>
          <a:off x="3800475" y="1038225"/>
          <a:ext cx="495300" cy="171450"/>
        </a:xfrm>
        <a:prstGeom prst="rect">
          <a:avLst/>
        </a:prstGeom>
        <a:solidFill>
          <a:srgbClr xmlns:mc="http://schemas.openxmlformats.org/markup-compatibility/2006" xmlns:a14="http://schemas.microsoft.com/office/drawing/2010/main" val="339966" mc:Ignorable="a14" a14:legacySpreadsheetColorIndex="57"/>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72000" tIns="0" rIns="72000" bIns="0" anchor="ctr" upright="1"/>
        <a:lstStyle/>
        <a:p>
          <a:pPr algn="ctr" rtl="0">
            <a:defRPr sz="1000"/>
          </a:pPr>
          <a:r>
            <a:rPr lang="en-US" sz="1000" b="1" i="0" u="none" strike="noStrike" baseline="0">
              <a:solidFill>
                <a:srgbClr val="000000"/>
              </a:solidFill>
              <a:latin typeface="Arial"/>
              <a:cs typeface="Arial"/>
            </a:rPr>
            <a:t>2</a:t>
          </a:r>
          <a:endParaRPr lang="en-US"/>
        </a:p>
      </xdr:txBody>
    </xdr:sp>
    <xdr:clientData/>
  </xdr:twoCellAnchor>
  <xdr:twoCellAnchor>
    <xdr:from>
      <xdr:col>7</xdr:col>
      <xdr:colOff>9525</xdr:colOff>
      <xdr:row>2</xdr:row>
      <xdr:rowOff>219075</xdr:rowOff>
    </xdr:from>
    <xdr:to>
      <xdr:col>7</xdr:col>
      <xdr:colOff>504825</xdr:colOff>
      <xdr:row>3</xdr:row>
      <xdr:rowOff>76200</xdr:rowOff>
    </xdr:to>
    <xdr:sp macro="" textlink="">
      <xdr:nvSpPr>
        <xdr:cNvPr id="6" name="Text Box 12">
          <a:extLst>
            <a:ext uri="{FF2B5EF4-FFF2-40B4-BE49-F238E27FC236}">
              <a16:creationId xmlns:a16="http://schemas.microsoft.com/office/drawing/2014/main" id="{846A1272-BCCB-4CA2-9187-61CDAC261B5A}"/>
            </a:ext>
          </a:extLst>
        </xdr:cNvPr>
        <xdr:cNvSpPr txBox="1">
          <a:spLocks noChangeArrowheads="1"/>
        </xdr:cNvSpPr>
      </xdr:nvSpPr>
      <xdr:spPr bwMode="auto">
        <a:xfrm>
          <a:off x="6877050" y="1038225"/>
          <a:ext cx="495300" cy="17145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72000" tIns="0" rIns="72000" bIns="0" anchor="ctr" upright="1"/>
        <a:lstStyle/>
        <a:p>
          <a:pPr algn="ctr" rtl="0">
            <a:defRPr sz="1000"/>
          </a:pPr>
          <a:r>
            <a:rPr lang="en-US" sz="800" b="0" i="0" u="none" strike="noStrike" baseline="0">
              <a:solidFill>
                <a:srgbClr val="000000"/>
              </a:solidFill>
              <a:latin typeface="Arial"/>
              <a:cs typeface="Arial"/>
            </a:rPr>
            <a:t>_</a:t>
          </a:r>
          <a:endParaRPr lang="en-US"/>
        </a:p>
      </xdr:txBody>
    </xdr:sp>
    <xdr:clientData/>
  </xdr:twoCellAnchor>
  <xdr:twoCellAnchor>
    <xdr:from>
      <xdr:col>5</xdr:col>
      <xdr:colOff>561975</xdr:colOff>
      <xdr:row>2</xdr:row>
      <xdr:rowOff>219075</xdr:rowOff>
    </xdr:from>
    <xdr:to>
      <xdr:col>6</xdr:col>
      <xdr:colOff>266700</xdr:colOff>
      <xdr:row>3</xdr:row>
      <xdr:rowOff>66675</xdr:rowOff>
    </xdr:to>
    <xdr:sp macro="" textlink="">
      <xdr:nvSpPr>
        <xdr:cNvPr id="7" name="Text Box 13">
          <a:extLst>
            <a:ext uri="{FF2B5EF4-FFF2-40B4-BE49-F238E27FC236}">
              <a16:creationId xmlns:a16="http://schemas.microsoft.com/office/drawing/2014/main" id="{5A59BCE0-7E16-4BA1-9B6D-760FBEB26A9F}"/>
            </a:ext>
          </a:extLst>
        </xdr:cNvPr>
        <xdr:cNvSpPr txBox="1">
          <a:spLocks noChangeArrowheads="1"/>
        </xdr:cNvSpPr>
      </xdr:nvSpPr>
      <xdr:spPr bwMode="auto">
        <a:xfrm>
          <a:off x="5334000" y="1038225"/>
          <a:ext cx="609600" cy="161925"/>
        </a:xfrm>
        <a:prstGeom prst="rect">
          <a:avLst/>
        </a:prstGeom>
        <a:solidFill>
          <a:srgbClr xmlns:mc="http://schemas.openxmlformats.org/markup-compatibility/2006" xmlns:a14="http://schemas.microsoft.com/office/drawing/2010/main" val="FF0000" mc:Ignorable="a14" a14:legacySpreadsheetColorIndex="10"/>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72000" tIns="0" rIns="72000" bIns="0" anchor="ctr" upright="1"/>
        <a:lstStyle/>
        <a:p>
          <a:pPr algn="ctr" rtl="0">
            <a:defRPr sz="1000"/>
          </a:pPr>
          <a:r>
            <a:rPr lang="en-US" sz="1000" b="1" i="0" u="none" strike="noStrike" baseline="0">
              <a:solidFill>
                <a:srgbClr val="000000"/>
              </a:solidFill>
              <a:latin typeface="Arial"/>
              <a:cs typeface="Arial"/>
            </a:rPr>
            <a:t>3</a:t>
          </a:r>
          <a:endParaRPr lang="en-US"/>
        </a:p>
      </xdr:txBody>
    </xdr:sp>
    <xdr:clientData/>
  </xdr:twoCellAnchor>
  <xdr:twoCellAnchor>
    <xdr:from>
      <xdr:col>3</xdr:col>
      <xdr:colOff>819150</xdr:colOff>
      <xdr:row>2</xdr:row>
      <xdr:rowOff>219075</xdr:rowOff>
    </xdr:from>
    <xdr:to>
      <xdr:col>4</xdr:col>
      <xdr:colOff>123825</xdr:colOff>
      <xdr:row>3</xdr:row>
      <xdr:rowOff>66675</xdr:rowOff>
    </xdr:to>
    <xdr:sp macro="" textlink="">
      <xdr:nvSpPr>
        <xdr:cNvPr id="8" name="Text Box 14">
          <a:extLst>
            <a:ext uri="{FF2B5EF4-FFF2-40B4-BE49-F238E27FC236}">
              <a16:creationId xmlns:a16="http://schemas.microsoft.com/office/drawing/2014/main" id="{A61CBBFE-87D8-4CE9-A46E-61A5B45C0877}"/>
            </a:ext>
          </a:extLst>
        </xdr:cNvPr>
        <xdr:cNvSpPr txBox="1">
          <a:spLocks noChangeArrowheads="1"/>
        </xdr:cNvSpPr>
      </xdr:nvSpPr>
      <xdr:spPr bwMode="auto">
        <a:xfrm>
          <a:off x="2924175" y="1038225"/>
          <a:ext cx="1066800" cy="161925"/>
        </a:xfrm>
        <a:prstGeom prst="rect">
          <a:avLst/>
        </a:prstGeom>
        <a:noFill/>
        <a:ln>
          <a:noFill/>
        </a:ln>
        <a:extLst>
          <a:ext uri="{909E8E84-426E-40DD-AFC4-6F175D3DCCD1}">
            <a14:hiddenFill xmlns:a14="http://schemas.microsoft.com/office/drawing/2010/main">
              <a:solidFill>
                <a:srgbClr xmlns:mc="http://schemas.openxmlformats.org/markup-compatibility/2006" val="FFFF99" mc:Ignorable="a14" a14:legacySpreadsheetColorIndex="43"/>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72000" tIns="0" rIns="72000" bIns="0" anchor="ctr" upright="1"/>
        <a:lstStyle/>
        <a:p>
          <a:pPr algn="l" rtl="0">
            <a:defRPr sz="1000"/>
          </a:pPr>
          <a:r>
            <a:rPr lang="en-US" sz="1100" b="0" i="0" u="none" strike="noStrike" baseline="0">
              <a:solidFill>
                <a:srgbClr val="000000"/>
              </a:solidFill>
              <a:latin typeface="Arial"/>
              <a:cs typeface="Arial"/>
            </a:rPr>
            <a:t>On-going</a:t>
          </a:r>
          <a:endParaRPr lang="en-US"/>
        </a:p>
      </xdr:txBody>
    </xdr:sp>
    <xdr:clientData/>
  </xdr:twoCellAnchor>
  <xdr:twoCellAnchor>
    <xdr:from>
      <xdr:col>3</xdr:col>
      <xdr:colOff>276225</xdr:colOff>
      <xdr:row>2</xdr:row>
      <xdr:rowOff>219075</xdr:rowOff>
    </xdr:from>
    <xdr:to>
      <xdr:col>3</xdr:col>
      <xdr:colOff>771525</xdr:colOff>
      <xdr:row>3</xdr:row>
      <xdr:rowOff>66675</xdr:rowOff>
    </xdr:to>
    <xdr:sp macro="" textlink="">
      <xdr:nvSpPr>
        <xdr:cNvPr id="9" name="Text Box 15">
          <a:extLst>
            <a:ext uri="{FF2B5EF4-FFF2-40B4-BE49-F238E27FC236}">
              <a16:creationId xmlns:a16="http://schemas.microsoft.com/office/drawing/2014/main" id="{18AE6F14-E84E-4C0B-923E-57F301B0AD9D}"/>
            </a:ext>
          </a:extLst>
        </xdr:cNvPr>
        <xdr:cNvSpPr txBox="1">
          <a:spLocks noChangeArrowheads="1"/>
        </xdr:cNvSpPr>
      </xdr:nvSpPr>
      <xdr:spPr bwMode="auto">
        <a:xfrm>
          <a:off x="2381250" y="1038225"/>
          <a:ext cx="495300" cy="161925"/>
        </a:xfrm>
        <a:prstGeom prst="rect">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72000" tIns="0" rIns="72000" bIns="0" anchor="ctr" upright="1"/>
        <a:lstStyle/>
        <a:p>
          <a:pPr algn="ctr" rtl="0">
            <a:defRPr sz="1000"/>
          </a:pPr>
          <a:r>
            <a:rPr lang="en-US" sz="1000" b="1" i="0" u="none" strike="noStrike" baseline="0">
              <a:solidFill>
                <a:srgbClr val="000000"/>
              </a:solidFill>
              <a:latin typeface="Arial"/>
              <a:cs typeface="Arial"/>
            </a:rPr>
            <a:t>1</a:t>
          </a:r>
          <a:endParaRPr lang="en-US"/>
        </a:p>
      </xdr:txBody>
    </xdr:sp>
    <xdr:clientData/>
  </xdr:twoCellAnchor>
  <xdr:twoCellAnchor editAs="oneCell">
    <xdr:from>
      <xdr:col>1</xdr:col>
      <xdr:colOff>312964</xdr:colOff>
      <xdr:row>1</xdr:row>
      <xdr:rowOff>68035</xdr:rowOff>
    </xdr:from>
    <xdr:to>
      <xdr:col>2</xdr:col>
      <xdr:colOff>1102178</xdr:colOff>
      <xdr:row>3</xdr:row>
      <xdr:rowOff>77389</xdr:rowOff>
    </xdr:to>
    <xdr:pic>
      <xdr:nvPicPr>
        <xdr:cNvPr id="11" name="Picture 10">
          <a:hlinkClick xmlns:r="http://schemas.openxmlformats.org/officeDocument/2006/relationships" r:id="rId1"/>
          <a:extLst>
            <a:ext uri="{FF2B5EF4-FFF2-40B4-BE49-F238E27FC236}">
              <a16:creationId xmlns:a16="http://schemas.microsoft.com/office/drawing/2014/main" id="{6E96F2F9-8D21-4013-9FAD-FE3AD4A217D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08214" y="68035"/>
          <a:ext cx="1129393" cy="6352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4</xdr:row>
      <xdr:rowOff>44823</xdr:rowOff>
    </xdr:from>
    <xdr:to>
      <xdr:col>7</xdr:col>
      <xdr:colOff>593911</xdr:colOff>
      <xdr:row>31</xdr:row>
      <xdr:rowOff>56926</xdr:rowOff>
    </xdr:to>
    <xdr:sp macro="" textlink="">
      <xdr:nvSpPr>
        <xdr:cNvPr id="2" name="Rectangle: Rounded Corners 1">
          <a:extLst>
            <a:ext uri="{FF2B5EF4-FFF2-40B4-BE49-F238E27FC236}">
              <a16:creationId xmlns:a16="http://schemas.microsoft.com/office/drawing/2014/main" id="{4D2581BA-AA68-AF6B-5573-9083B0EE7917}"/>
            </a:ext>
          </a:extLst>
        </xdr:cNvPr>
        <xdr:cNvSpPr/>
      </xdr:nvSpPr>
      <xdr:spPr>
        <a:xfrm>
          <a:off x="100853" y="1131794"/>
          <a:ext cx="14578852" cy="5760720"/>
        </a:xfrm>
        <a:prstGeom prst="roundRect">
          <a:avLst>
            <a:gd name="adj" fmla="val 1404"/>
          </a:avLst>
        </a:prstGeom>
        <a:blipFill dpi="0" rotWithShape="1">
          <a:blip xmlns:r="http://schemas.openxmlformats.org/officeDocument/2006/relationships" r:embed="rId1"/>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123264</xdr:colOff>
      <xdr:row>7</xdr:row>
      <xdr:rowOff>201705</xdr:rowOff>
    </xdr:from>
    <xdr:to>
      <xdr:col>3</xdr:col>
      <xdr:colOff>127745</xdr:colOff>
      <xdr:row>10</xdr:row>
      <xdr:rowOff>111610</xdr:rowOff>
    </xdr:to>
    <xdr:sp macro="" textlink="">
      <xdr:nvSpPr>
        <xdr:cNvPr id="6" name="Rectangle 5">
          <a:extLst>
            <a:ext uri="{FF2B5EF4-FFF2-40B4-BE49-F238E27FC236}">
              <a16:creationId xmlns:a16="http://schemas.microsoft.com/office/drawing/2014/main" id="{32AA7078-7CD0-4BA3-A571-2978E471D56E}"/>
            </a:ext>
          </a:extLst>
        </xdr:cNvPr>
        <xdr:cNvSpPr/>
      </xdr:nvSpPr>
      <xdr:spPr>
        <a:xfrm>
          <a:off x="224117" y="1927411"/>
          <a:ext cx="1584510" cy="548640"/>
        </a:xfrm>
        <a:prstGeom prst="rect">
          <a:avLst/>
        </a:prstGeom>
        <a:solidFill>
          <a:schemeClr val="accent4">
            <a:lumMod val="40000"/>
            <a:lumOff val="60000"/>
            <a:alpha val="66000"/>
          </a:schemeClr>
        </a:solidFill>
        <a:ln>
          <a:solidFill>
            <a:schemeClr val="accent1">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rPr>
            <a:t>People</a:t>
          </a:r>
          <a:endParaRPr lang="en-US" sz="1000" b="1">
            <a:solidFill>
              <a:schemeClr val="tx1"/>
            </a:solidFill>
          </a:endParaRPr>
        </a:p>
      </xdr:txBody>
    </xdr:sp>
    <xdr:clientData/>
  </xdr:twoCellAnchor>
  <xdr:twoCellAnchor>
    <xdr:from>
      <xdr:col>1</xdr:col>
      <xdr:colOff>123264</xdr:colOff>
      <xdr:row>10</xdr:row>
      <xdr:rowOff>172939</xdr:rowOff>
    </xdr:from>
    <xdr:to>
      <xdr:col>3</xdr:col>
      <xdr:colOff>127745</xdr:colOff>
      <xdr:row>12</xdr:row>
      <xdr:rowOff>112874</xdr:rowOff>
    </xdr:to>
    <xdr:sp macro="" textlink="">
      <xdr:nvSpPr>
        <xdr:cNvPr id="19" name="Rectangle 18">
          <a:extLst>
            <a:ext uri="{FF2B5EF4-FFF2-40B4-BE49-F238E27FC236}">
              <a16:creationId xmlns:a16="http://schemas.microsoft.com/office/drawing/2014/main" id="{5ADF1D52-CA8E-489C-8785-16967AD892AB}"/>
            </a:ext>
          </a:extLst>
        </xdr:cNvPr>
        <xdr:cNvSpPr/>
      </xdr:nvSpPr>
      <xdr:spPr>
        <a:xfrm>
          <a:off x="123264" y="2537380"/>
          <a:ext cx="1584510" cy="365759"/>
        </a:xfrm>
        <a:prstGeom prst="rect">
          <a:avLst/>
        </a:prstGeom>
        <a:solidFill>
          <a:srgbClr val="66FF66">
            <a:alpha val="42000"/>
          </a:srgbClr>
        </a:solidFill>
        <a:ln>
          <a:solidFill>
            <a:schemeClr val="accent1">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b="1">
              <a:solidFill>
                <a:schemeClr val="tx1"/>
              </a:solidFill>
              <a:latin typeface="+mn-lt"/>
              <a:ea typeface="+mn-ea"/>
              <a:cs typeface="+mn-cs"/>
            </a:rPr>
            <a:t>Climate</a:t>
          </a:r>
        </a:p>
      </xdr:txBody>
    </xdr:sp>
    <xdr:clientData/>
  </xdr:twoCellAnchor>
  <xdr:twoCellAnchor>
    <xdr:from>
      <xdr:col>1</xdr:col>
      <xdr:colOff>123264</xdr:colOff>
      <xdr:row>12</xdr:row>
      <xdr:rowOff>166587</xdr:rowOff>
    </xdr:from>
    <xdr:to>
      <xdr:col>3</xdr:col>
      <xdr:colOff>127745</xdr:colOff>
      <xdr:row>14</xdr:row>
      <xdr:rowOff>106525</xdr:rowOff>
    </xdr:to>
    <xdr:sp macro="" textlink="">
      <xdr:nvSpPr>
        <xdr:cNvPr id="20" name="Rectangle 19">
          <a:extLst>
            <a:ext uri="{FF2B5EF4-FFF2-40B4-BE49-F238E27FC236}">
              <a16:creationId xmlns:a16="http://schemas.microsoft.com/office/drawing/2014/main" id="{3C899C8F-F6E5-433D-AD82-95C37CEADAC0}"/>
            </a:ext>
          </a:extLst>
        </xdr:cNvPr>
        <xdr:cNvSpPr/>
      </xdr:nvSpPr>
      <xdr:spPr>
        <a:xfrm>
          <a:off x="123264" y="2956852"/>
          <a:ext cx="1584510" cy="365761"/>
        </a:xfrm>
        <a:prstGeom prst="rect">
          <a:avLst/>
        </a:prstGeom>
        <a:solidFill>
          <a:srgbClr val="0070C0">
            <a:alpha val="50000"/>
          </a:srgbClr>
        </a:solidFill>
        <a:ln>
          <a:solidFill>
            <a:schemeClr val="accent1">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b="1">
              <a:solidFill>
                <a:schemeClr val="bg1"/>
              </a:solidFill>
              <a:latin typeface="+mn-lt"/>
              <a:ea typeface="+mn-ea"/>
              <a:cs typeface="+mn-cs"/>
            </a:rPr>
            <a:t>Water</a:t>
          </a:r>
        </a:p>
      </xdr:txBody>
    </xdr:sp>
    <xdr:clientData/>
  </xdr:twoCellAnchor>
  <xdr:twoCellAnchor>
    <xdr:from>
      <xdr:col>1</xdr:col>
      <xdr:colOff>123264</xdr:colOff>
      <xdr:row>14</xdr:row>
      <xdr:rowOff>160238</xdr:rowOff>
    </xdr:from>
    <xdr:to>
      <xdr:col>3</xdr:col>
      <xdr:colOff>127745</xdr:colOff>
      <xdr:row>16</xdr:row>
      <xdr:rowOff>100173</xdr:rowOff>
    </xdr:to>
    <xdr:sp macro="" textlink="">
      <xdr:nvSpPr>
        <xdr:cNvPr id="21" name="Rectangle 20">
          <a:extLst>
            <a:ext uri="{FF2B5EF4-FFF2-40B4-BE49-F238E27FC236}">
              <a16:creationId xmlns:a16="http://schemas.microsoft.com/office/drawing/2014/main" id="{380ABE75-32A9-4963-AAFC-93CC72884F7C}"/>
            </a:ext>
          </a:extLst>
        </xdr:cNvPr>
        <xdr:cNvSpPr/>
      </xdr:nvSpPr>
      <xdr:spPr>
        <a:xfrm>
          <a:off x="123264" y="3376326"/>
          <a:ext cx="1584510" cy="365759"/>
        </a:xfrm>
        <a:prstGeom prst="rect">
          <a:avLst/>
        </a:prstGeom>
        <a:solidFill>
          <a:srgbClr val="C00000">
            <a:alpha val="54000"/>
          </a:srgbClr>
        </a:solidFill>
        <a:ln>
          <a:solidFill>
            <a:schemeClr val="accent1">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b="1">
              <a:solidFill>
                <a:srgbClr val="FFFF99"/>
              </a:solidFill>
              <a:latin typeface="+mn-lt"/>
              <a:ea typeface="+mn-ea"/>
              <a:cs typeface="+mn-cs"/>
            </a:rPr>
            <a:t>Energy</a:t>
          </a:r>
        </a:p>
      </xdr:txBody>
    </xdr:sp>
    <xdr:clientData/>
  </xdr:twoCellAnchor>
  <xdr:twoCellAnchor>
    <xdr:from>
      <xdr:col>1</xdr:col>
      <xdr:colOff>123264</xdr:colOff>
      <xdr:row>16</xdr:row>
      <xdr:rowOff>153886</xdr:rowOff>
    </xdr:from>
    <xdr:to>
      <xdr:col>3</xdr:col>
      <xdr:colOff>127745</xdr:colOff>
      <xdr:row>18</xdr:row>
      <xdr:rowOff>93824</xdr:rowOff>
    </xdr:to>
    <xdr:sp macro="" textlink="">
      <xdr:nvSpPr>
        <xdr:cNvPr id="22" name="Rectangle 21">
          <a:extLst>
            <a:ext uri="{FF2B5EF4-FFF2-40B4-BE49-F238E27FC236}">
              <a16:creationId xmlns:a16="http://schemas.microsoft.com/office/drawing/2014/main" id="{637AA52B-0D54-46DE-9365-884B2E5C88CA}"/>
            </a:ext>
          </a:extLst>
        </xdr:cNvPr>
        <xdr:cNvSpPr/>
      </xdr:nvSpPr>
      <xdr:spPr>
        <a:xfrm>
          <a:off x="123264" y="3795798"/>
          <a:ext cx="1584510" cy="365761"/>
        </a:xfrm>
        <a:prstGeom prst="rect">
          <a:avLst/>
        </a:prstGeom>
        <a:solidFill>
          <a:srgbClr val="D60093">
            <a:alpha val="50000"/>
          </a:srgbClr>
        </a:solidFill>
        <a:ln>
          <a:solidFill>
            <a:schemeClr val="accent1">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b="1">
              <a:solidFill>
                <a:schemeClr val="bg1"/>
              </a:solidFill>
              <a:latin typeface="+mn-lt"/>
              <a:ea typeface="+mn-ea"/>
              <a:cs typeface="+mn-cs"/>
            </a:rPr>
            <a:t>Waste</a:t>
          </a:r>
        </a:p>
      </xdr:txBody>
    </xdr:sp>
    <xdr:clientData/>
  </xdr:twoCellAnchor>
  <xdr:twoCellAnchor>
    <xdr:from>
      <xdr:col>1</xdr:col>
      <xdr:colOff>123264</xdr:colOff>
      <xdr:row>18</xdr:row>
      <xdr:rowOff>147537</xdr:rowOff>
    </xdr:from>
    <xdr:to>
      <xdr:col>3</xdr:col>
      <xdr:colOff>127745</xdr:colOff>
      <xdr:row>20</xdr:row>
      <xdr:rowOff>87472</xdr:rowOff>
    </xdr:to>
    <xdr:sp macro="" textlink="">
      <xdr:nvSpPr>
        <xdr:cNvPr id="23" name="Rectangle 22">
          <a:extLst>
            <a:ext uri="{FF2B5EF4-FFF2-40B4-BE49-F238E27FC236}">
              <a16:creationId xmlns:a16="http://schemas.microsoft.com/office/drawing/2014/main" id="{95B63DC6-8A45-4E66-9885-C5C1936DFADE}"/>
            </a:ext>
          </a:extLst>
        </xdr:cNvPr>
        <xdr:cNvSpPr/>
      </xdr:nvSpPr>
      <xdr:spPr>
        <a:xfrm>
          <a:off x="123264" y="4215272"/>
          <a:ext cx="1584510" cy="365759"/>
        </a:xfrm>
        <a:prstGeom prst="rect">
          <a:avLst/>
        </a:prstGeom>
        <a:solidFill>
          <a:schemeClr val="tx1">
            <a:alpha val="60000"/>
          </a:schemeClr>
        </a:solidFill>
        <a:ln>
          <a:solidFill>
            <a:schemeClr val="accent1">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b="1">
              <a:solidFill>
                <a:schemeClr val="bg1"/>
              </a:solidFill>
              <a:latin typeface="+mn-lt"/>
              <a:ea typeface="+mn-ea"/>
              <a:cs typeface="+mn-cs"/>
            </a:rPr>
            <a:t>Product</a:t>
          </a:r>
        </a:p>
      </xdr:txBody>
    </xdr:sp>
    <xdr:clientData/>
  </xdr:twoCellAnchor>
  <xdr:twoCellAnchor>
    <xdr:from>
      <xdr:col>1</xdr:col>
      <xdr:colOff>123264</xdr:colOff>
      <xdr:row>20</xdr:row>
      <xdr:rowOff>141186</xdr:rowOff>
    </xdr:from>
    <xdr:to>
      <xdr:col>3</xdr:col>
      <xdr:colOff>127745</xdr:colOff>
      <xdr:row>22</xdr:row>
      <xdr:rowOff>81123</xdr:rowOff>
    </xdr:to>
    <xdr:sp macro="" textlink="">
      <xdr:nvSpPr>
        <xdr:cNvPr id="24" name="Rectangle 23">
          <a:extLst>
            <a:ext uri="{FF2B5EF4-FFF2-40B4-BE49-F238E27FC236}">
              <a16:creationId xmlns:a16="http://schemas.microsoft.com/office/drawing/2014/main" id="{AF088E18-B3BE-4277-A9D8-20CED17B3B84}"/>
            </a:ext>
          </a:extLst>
        </xdr:cNvPr>
        <xdr:cNvSpPr/>
      </xdr:nvSpPr>
      <xdr:spPr>
        <a:xfrm>
          <a:off x="123264" y="4634745"/>
          <a:ext cx="1584510" cy="365760"/>
        </a:xfrm>
        <a:prstGeom prst="rect">
          <a:avLst/>
        </a:prstGeom>
        <a:solidFill>
          <a:schemeClr val="tx1">
            <a:alpha val="72000"/>
          </a:schemeClr>
        </a:solidFill>
        <a:ln>
          <a:solidFill>
            <a:schemeClr val="accent1">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b="1">
              <a:solidFill>
                <a:srgbClr val="FFFF00"/>
              </a:solidFill>
              <a:latin typeface="+mn-lt"/>
              <a:ea typeface="+mn-ea"/>
              <a:cs typeface="+mn-cs"/>
            </a:rPr>
            <a:t>Packaging</a:t>
          </a:r>
        </a:p>
      </xdr:txBody>
    </xdr:sp>
    <xdr:clientData/>
  </xdr:twoCellAnchor>
  <xdr:twoCellAnchor>
    <xdr:from>
      <xdr:col>1</xdr:col>
      <xdr:colOff>313764</xdr:colOff>
      <xdr:row>5</xdr:row>
      <xdr:rowOff>129988</xdr:rowOff>
    </xdr:from>
    <xdr:to>
      <xdr:col>2</xdr:col>
      <xdr:colOff>1125069</xdr:colOff>
      <xdr:row>7</xdr:row>
      <xdr:rowOff>107575</xdr:rowOff>
    </xdr:to>
    <xdr:sp macro="" textlink="">
      <xdr:nvSpPr>
        <xdr:cNvPr id="25" name="Rectangle: Rounded Corners 24">
          <a:extLst>
            <a:ext uri="{FF2B5EF4-FFF2-40B4-BE49-F238E27FC236}">
              <a16:creationId xmlns:a16="http://schemas.microsoft.com/office/drawing/2014/main" id="{EC613C11-FB4D-4FEC-A32B-622C81561317}"/>
            </a:ext>
          </a:extLst>
        </xdr:cNvPr>
        <xdr:cNvSpPr/>
      </xdr:nvSpPr>
      <xdr:spPr>
        <a:xfrm>
          <a:off x="313764" y="1429870"/>
          <a:ext cx="1203511" cy="403411"/>
        </a:xfrm>
        <a:prstGeom prst="roundRect">
          <a:avLst>
            <a:gd name="adj" fmla="val 50000"/>
          </a:avLst>
        </a:prstGeom>
        <a:solidFill>
          <a:schemeClr val="accent5">
            <a:lumMod val="50000"/>
            <a:alpha val="8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bg1"/>
              </a:solidFill>
            </a:rPr>
            <a:t>Pillar</a:t>
          </a:r>
          <a:endParaRPr lang="en-US" sz="1100" b="1">
            <a:solidFill>
              <a:schemeClr val="bg1"/>
            </a:solidFill>
          </a:endParaRPr>
        </a:p>
      </xdr:txBody>
    </xdr:sp>
    <xdr:clientData/>
  </xdr:twoCellAnchor>
  <xdr:twoCellAnchor>
    <xdr:from>
      <xdr:col>5</xdr:col>
      <xdr:colOff>2861622</xdr:colOff>
      <xdr:row>5</xdr:row>
      <xdr:rowOff>129988</xdr:rowOff>
    </xdr:from>
    <xdr:to>
      <xdr:col>5</xdr:col>
      <xdr:colOff>4242186</xdr:colOff>
      <xdr:row>7</xdr:row>
      <xdr:rowOff>107575</xdr:rowOff>
    </xdr:to>
    <xdr:sp macro="" textlink="">
      <xdr:nvSpPr>
        <xdr:cNvPr id="28" name="Rectangle: Rounded Corners 27">
          <a:extLst>
            <a:ext uri="{FF2B5EF4-FFF2-40B4-BE49-F238E27FC236}">
              <a16:creationId xmlns:a16="http://schemas.microsoft.com/office/drawing/2014/main" id="{2BD07A46-8FEE-40E7-8C23-405D051CBEF7}"/>
            </a:ext>
          </a:extLst>
        </xdr:cNvPr>
        <xdr:cNvSpPr/>
      </xdr:nvSpPr>
      <xdr:spPr>
        <a:xfrm>
          <a:off x="8162004" y="1429870"/>
          <a:ext cx="1380564" cy="403411"/>
        </a:xfrm>
        <a:prstGeom prst="roundRect">
          <a:avLst>
            <a:gd name="adj" fmla="val 50000"/>
          </a:avLst>
        </a:prstGeom>
        <a:solidFill>
          <a:schemeClr val="accent5">
            <a:lumMod val="50000"/>
            <a:alpha val="8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800" b="1">
              <a:solidFill>
                <a:schemeClr val="bg1"/>
              </a:solidFill>
              <a:latin typeface="+mn-lt"/>
              <a:ea typeface="+mn-ea"/>
              <a:cs typeface="+mn-cs"/>
            </a:rPr>
            <a:t>Co- Leader</a:t>
          </a:r>
        </a:p>
      </xdr:txBody>
    </xdr:sp>
    <xdr:clientData/>
  </xdr:twoCellAnchor>
  <xdr:twoCellAnchor>
    <xdr:from>
      <xdr:col>6</xdr:col>
      <xdr:colOff>777694</xdr:colOff>
      <xdr:row>5</xdr:row>
      <xdr:rowOff>129988</xdr:rowOff>
    </xdr:from>
    <xdr:to>
      <xdr:col>6</xdr:col>
      <xdr:colOff>2487711</xdr:colOff>
      <xdr:row>7</xdr:row>
      <xdr:rowOff>107575</xdr:rowOff>
    </xdr:to>
    <xdr:sp macro="" textlink="">
      <xdr:nvSpPr>
        <xdr:cNvPr id="29" name="Rectangle: Rounded Corners 28">
          <a:extLst>
            <a:ext uri="{FF2B5EF4-FFF2-40B4-BE49-F238E27FC236}">
              <a16:creationId xmlns:a16="http://schemas.microsoft.com/office/drawing/2014/main" id="{6FB1B623-BB8C-45C0-AB79-1F99A65B7885}"/>
            </a:ext>
          </a:extLst>
        </xdr:cNvPr>
        <xdr:cNvSpPr/>
      </xdr:nvSpPr>
      <xdr:spPr>
        <a:xfrm>
          <a:off x="11490518" y="1429870"/>
          <a:ext cx="1710017" cy="403411"/>
        </a:xfrm>
        <a:prstGeom prst="roundRect">
          <a:avLst>
            <a:gd name="adj" fmla="val 50000"/>
          </a:avLst>
        </a:prstGeom>
        <a:solidFill>
          <a:schemeClr val="accent5">
            <a:lumMod val="50000"/>
            <a:alpha val="8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800" b="1">
              <a:solidFill>
                <a:schemeClr val="bg1"/>
              </a:solidFill>
              <a:latin typeface="+mn-lt"/>
              <a:ea typeface="+mn-ea"/>
              <a:cs typeface="+mn-cs"/>
            </a:rPr>
            <a:t>Core Members</a:t>
          </a:r>
        </a:p>
      </xdr:txBody>
    </xdr:sp>
    <xdr:clientData/>
  </xdr:twoCellAnchor>
  <xdr:twoCellAnchor>
    <xdr:from>
      <xdr:col>1</xdr:col>
      <xdr:colOff>201704</xdr:colOff>
      <xdr:row>28</xdr:row>
      <xdr:rowOff>67235</xdr:rowOff>
    </xdr:from>
    <xdr:to>
      <xdr:col>2</xdr:col>
      <xdr:colOff>1154207</xdr:colOff>
      <xdr:row>30</xdr:row>
      <xdr:rowOff>201793</xdr:rowOff>
    </xdr:to>
    <xdr:sp macro="" textlink="">
      <xdr:nvSpPr>
        <xdr:cNvPr id="30" name="Rectangle: Rounded Corners 29">
          <a:hlinkClick xmlns:r="http://schemas.openxmlformats.org/officeDocument/2006/relationships" r:id="rId2"/>
          <a:extLst>
            <a:ext uri="{FF2B5EF4-FFF2-40B4-BE49-F238E27FC236}">
              <a16:creationId xmlns:a16="http://schemas.microsoft.com/office/drawing/2014/main" id="{85457671-E1FA-4B5E-8591-EFB3239AF349}"/>
            </a:ext>
          </a:extLst>
        </xdr:cNvPr>
        <xdr:cNvSpPr/>
      </xdr:nvSpPr>
      <xdr:spPr>
        <a:xfrm>
          <a:off x="201704" y="6264088"/>
          <a:ext cx="1344709" cy="560381"/>
        </a:xfrm>
        <a:prstGeom prst="roundRect">
          <a:avLst>
            <a:gd name="adj" fmla="val 27590"/>
          </a:avLst>
        </a:prstGeom>
        <a:solidFill>
          <a:srgbClr val="006600">
            <a:alpha val="85000"/>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bg1"/>
              </a:solidFill>
            </a:rPr>
            <a:t>Monthly Data Submission</a:t>
          </a:r>
          <a:endParaRPr lang="en-US" sz="900" b="1">
            <a:solidFill>
              <a:schemeClr val="bg1"/>
            </a:solidFill>
          </a:endParaRPr>
        </a:p>
      </xdr:txBody>
    </xdr:sp>
    <xdr:clientData/>
  </xdr:twoCellAnchor>
  <xdr:twoCellAnchor>
    <xdr:from>
      <xdr:col>4</xdr:col>
      <xdr:colOff>1775011</xdr:colOff>
      <xdr:row>5</xdr:row>
      <xdr:rowOff>129988</xdr:rowOff>
    </xdr:from>
    <xdr:to>
      <xdr:col>5</xdr:col>
      <xdr:colOff>1322292</xdr:colOff>
      <xdr:row>7</xdr:row>
      <xdr:rowOff>107575</xdr:rowOff>
    </xdr:to>
    <xdr:sp macro="" textlink="">
      <xdr:nvSpPr>
        <xdr:cNvPr id="31" name="Rectangle: Rounded Corners 30">
          <a:extLst>
            <a:ext uri="{FF2B5EF4-FFF2-40B4-BE49-F238E27FC236}">
              <a16:creationId xmlns:a16="http://schemas.microsoft.com/office/drawing/2014/main" id="{8647C9C8-BA1F-4621-8190-D0BC83E98A59}"/>
            </a:ext>
          </a:extLst>
        </xdr:cNvPr>
        <xdr:cNvSpPr/>
      </xdr:nvSpPr>
      <xdr:spPr>
        <a:xfrm>
          <a:off x="5080746" y="1429870"/>
          <a:ext cx="1541928" cy="403411"/>
        </a:xfrm>
        <a:prstGeom prst="roundRect">
          <a:avLst>
            <a:gd name="adj" fmla="val 50000"/>
          </a:avLst>
        </a:prstGeom>
        <a:solidFill>
          <a:schemeClr val="accent5">
            <a:lumMod val="50000"/>
            <a:alpha val="8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800" b="1">
              <a:solidFill>
                <a:schemeClr val="bg1"/>
              </a:solidFill>
              <a:latin typeface="+mn-lt"/>
              <a:ea typeface="+mn-ea"/>
              <a:cs typeface="+mn-cs"/>
            </a:rPr>
            <a:t>Designation</a:t>
          </a:r>
        </a:p>
      </xdr:txBody>
    </xdr:sp>
    <xdr:clientData/>
  </xdr:twoCellAnchor>
  <xdr:twoCellAnchor>
    <xdr:from>
      <xdr:col>3</xdr:col>
      <xdr:colOff>174809</xdr:colOff>
      <xdr:row>7</xdr:row>
      <xdr:rowOff>201705</xdr:rowOff>
    </xdr:from>
    <xdr:to>
      <xdr:col>4</xdr:col>
      <xdr:colOff>1155727</xdr:colOff>
      <xdr:row>10</xdr:row>
      <xdr:rowOff>111610</xdr:rowOff>
    </xdr:to>
    <xdr:sp macro="" textlink="">
      <xdr:nvSpPr>
        <xdr:cNvPr id="32" name="Rectangle 31">
          <a:extLst>
            <a:ext uri="{FF2B5EF4-FFF2-40B4-BE49-F238E27FC236}">
              <a16:creationId xmlns:a16="http://schemas.microsoft.com/office/drawing/2014/main" id="{8F72C50C-45D4-4173-B188-CF584B6BD2DC}"/>
            </a:ext>
          </a:extLst>
        </xdr:cNvPr>
        <xdr:cNvSpPr/>
      </xdr:nvSpPr>
      <xdr:spPr>
        <a:xfrm>
          <a:off x="1855691" y="1927411"/>
          <a:ext cx="2706624" cy="548640"/>
        </a:xfrm>
        <a:prstGeom prst="rect">
          <a:avLst/>
        </a:prstGeom>
        <a:solidFill>
          <a:schemeClr val="accent4">
            <a:lumMod val="40000"/>
            <a:lumOff val="60000"/>
            <a:alpha val="66000"/>
          </a:schemeClr>
        </a:solidFill>
        <a:ln>
          <a:solidFill>
            <a:schemeClr val="accent1">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b="1">
              <a:solidFill>
                <a:schemeClr val="tx1"/>
              </a:solidFill>
              <a:latin typeface="+mn-lt"/>
              <a:ea typeface="+mn-ea"/>
              <a:cs typeface="+mn-cs"/>
            </a:rPr>
            <a:t>Sharmin Akter Borsha</a:t>
          </a:r>
          <a:r>
            <a:rPr lang="en-US" sz="1400" b="1" baseline="0">
              <a:solidFill>
                <a:schemeClr val="tx1"/>
              </a:solidFill>
              <a:latin typeface="+mn-lt"/>
              <a:ea typeface="+mn-ea"/>
              <a:cs typeface="+mn-cs"/>
            </a:rPr>
            <a:t> </a:t>
          </a:r>
        </a:p>
        <a:p>
          <a:pPr marL="0" indent="0" algn="ctr"/>
          <a:r>
            <a:rPr lang="en-US" sz="1400" b="1" baseline="0">
              <a:solidFill>
                <a:schemeClr val="tx1"/>
              </a:solidFill>
              <a:latin typeface="+mn-lt"/>
              <a:ea typeface="+mn-ea"/>
              <a:cs typeface="+mn-cs"/>
            </a:rPr>
            <a:t>&amp; Md. Akram Mostafa</a:t>
          </a:r>
          <a:r>
            <a:rPr lang="en-US" sz="1400" b="1">
              <a:solidFill>
                <a:schemeClr val="tx1"/>
              </a:solidFill>
              <a:latin typeface="+mn-lt"/>
              <a:ea typeface="+mn-ea"/>
              <a:cs typeface="+mn-cs"/>
            </a:rPr>
            <a:t> </a:t>
          </a:r>
        </a:p>
      </xdr:txBody>
    </xdr:sp>
    <xdr:clientData/>
  </xdr:twoCellAnchor>
  <xdr:twoCellAnchor>
    <xdr:from>
      <xdr:col>3</xdr:col>
      <xdr:colOff>174809</xdr:colOff>
      <xdr:row>10</xdr:row>
      <xdr:rowOff>178543</xdr:rowOff>
    </xdr:from>
    <xdr:to>
      <xdr:col>4</xdr:col>
      <xdr:colOff>1155727</xdr:colOff>
      <xdr:row>12</xdr:row>
      <xdr:rowOff>118478</xdr:rowOff>
    </xdr:to>
    <xdr:sp macro="" textlink="">
      <xdr:nvSpPr>
        <xdr:cNvPr id="33" name="Rectangle 32">
          <a:extLst>
            <a:ext uri="{FF2B5EF4-FFF2-40B4-BE49-F238E27FC236}">
              <a16:creationId xmlns:a16="http://schemas.microsoft.com/office/drawing/2014/main" id="{47D3F091-DD17-4312-9ABF-BB5A9067A144}"/>
            </a:ext>
          </a:extLst>
        </xdr:cNvPr>
        <xdr:cNvSpPr/>
      </xdr:nvSpPr>
      <xdr:spPr>
        <a:xfrm>
          <a:off x="1754838" y="2542984"/>
          <a:ext cx="2706624" cy="365759"/>
        </a:xfrm>
        <a:prstGeom prst="rect">
          <a:avLst/>
        </a:prstGeom>
        <a:solidFill>
          <a:srgbClr val="66FF66">
            <a:alpha val="42000"/>
          </a:srgbClr>
        </a:solidFill>
        <a:ln>
          <a:solidFill>
            <a:schemeClr val="accent1">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b="1">
              <a:solidFill>
                <a:schemeClr val="tx1"/>
              </a:solidFill>
              <a:latin typeface="+mn-lt"/>
              <a:ea typeface="+mn-ea"/>
              <a:cs typeface="+mn-cs"/>
            </a:rPr>
            <a:t>Abu Sayeed</a:t>
          </a:r>
        </a:p>
      </xdr:txBody>
    </xdr:sp>
    <xdr:clientData/>
  </xdr:twoCellAnchor>
  <xdr:twoCellAnchor>
    <xdr:from>
      <xdr:col>3</xdr:col>
      <xdr:colOff>174810</xdr:colOff>
      <xdr:row>12</xdr:row>
      <xdr:rowOff>171071</xdr:rowOff>
    </xdr:from>
    <xdr:to>
      <xdr:col>4</xdr:col>
      <xdr:colOff>1155728</xdr:colOff>
      <xdr:row>14</xdr:row>
      <xdr:rowOff>111009</xdr:rowOff>
    </xdr:to>
    <xdr:sp macro="" textlink="">
      <xdr:nvSpPr>
        <xdr:cNvPr id="34" name="Rectangle 33">
          <a:extLst>
            <a:ext uri="{FF2B5EF4-FFF2-40B4-BE49-F238E27FC236}">
              <a16:creationId xmlns:a16="http://schemas.microsoft.com/office/drawing/2014/main" id="{88736354-21ED-4B9E-A321-3BDF992608B0}"/>
            </a:ext>
          </a:extLst>
        </xdr:cNvPr>
        <xdr:cNvSpPr/>
      </xdr:nvSpPr>
      <xdr:spPr>
        <a:xfrm>
          <a:off x="1754839" y="2961336"/>
          <a:ext cx="2706624" cy="365761"/>
        </a:xfrm>
        <a:prstGeom prst="rect">
          <a:avLst/>
        </a:prstGeom>
        <a:solidFill>
          <a:srgbClr val="0070C0">
            <a:alpha val="50000"/>
          </a:srgbClr>
        </a:solidFill>
        <a:ln>
          <a:solidFill>
            <a:schemeClr val="accent1">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b="1">
              <a:solidFill>
                <a:schemeClr val="bg1"/>
              </a:solidFill>
              <a:latin typeface="+mn-lt"/>
              <a:ea typeface="+mn-ea"/>
              <a:cs typeface="+mn-cs"/>
            </a:rPr>
            <a:t>Jahangir Alam</a:t>
          </a:r>
        </a:p>
      </xdr:txBody>
    </xdr:sp>
    <xdr:clientData/>
  </xdr:twoCellAnchor>
  <xdr:twoCellAnchor>
    <xdr:from>
      <xdr:col>3</xdr:col>
      <xdr:colOff>174809</xdr:colOff>
      <xdr:row>14</xdr:row>
      <xdr:rowOff>163601</xdr:rowOff>
    </xdr:from>
    <xdr:to>
      <xdr:col>4</xdr:col>
      <xdr:colOff>1155727</xdr:colOff>
      <xdr:row>16</xdr:row>
      <xdr:rowOff>103536</xdr:rowOff>
    </xdr:to>
    <xdr:sp macro="" textlink="">
      <xdr:nvSpPr>
        <xdr:cNvPr id="35" name="Rectangle 34">
          <a:extLst>
            <a:ext uri="{FF2B5EF4-FFF2-40B4-BE49-F238E27FC236}">
              <a16:creationId xmlns:a16="http://schemas.microsoft.com/office/drawing/2014/main" id="{598FF03E-7CC1-488B-8907-1E4B2C6F9641}"/>
            </a:ext>
          </a:extLst>
        </xdr:cNvPr>
        <xdr:cNvSpPr/>
      </xdr:nvSpPr>
      <xdr:spPr>
        <a:xfrm>
          <a:off x="1754838" y="3379689"/>
          <a:ext cx="2706624" cy="365759"/>
        </a:xfrm>
        <a:prstGeom prst="rect">
          <a:avLst/>
        </a:prstGeom>
        <a:solidFill>
          <a:srgbClr val="C00000">
            <a:alpha val="54000"/>
          </a:srgbClr>
        </a:solidFill>
        <a:ln>
          <a:solidFill>
            <a:schemeClr val="accent1">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b="1">
              <a:solidFill>
                <a:schemeClr val="bg1"/>
              </a:solidFill>
              <a:latin typeface="+mn-lt"/>
              <a:ea typeface="+mn-ea"/>
              <a:cs typeface="+mn-cs"/>
            </a:rPr>
            <a:t>Rifah Tasnia</a:t>
          </a:r>
        </a:p>
      </xdr:txBody>
    </xdr:sp>
    <xdr:clientData/>
  </xdr:twoCellAnchor>
  <xdr:twoCellAnchor>
    <xdr:from>
      <xdr:col>3</xdr:col>
      <xdr:colOff>174809</xdr:colOff>
      <xdr:row>16</xdr:row>
      <xdr:rowOff>156128</xdr:rowOff>
    </xdr:from>
    <xdr:to>
      <xdr:col>4</xdr:col>
      <xdr:colOff>1155727</xdr:colOff>
      <xdr:row>18</xdr:row>
      <xdr:rowOff>96066</xdr:rowOff>
    </xdr:to>
    <xdr:sp macro="" textlink="">
      <xdr:nvSpPr>
        <xdr:cNvPr id="36" name="Rectangle 35">
          <a:extLst>
            <a:ext uri="{FF2B5EF4-FFF2-40B4-BE49-F238E27FC236}">
              <a16:creationId xmlns:a16="http://schemas.microsoft.com/office/drawing/2014/main" id="{C4D796B8-68CA-4885-AEF7-121E6DC98ED7}"/>
            </a:ext>
          </a:extLst>
        </xdr:cNvPr>
        <xdr:cNvSpPr/>
      </xdr:nvSpPr>
      <xdr:spPr>
        <a:xfrm>
          <a:off x="1754838" y="3798040"/>
          <a:ext cx="2706624" cy="365761"/>
        </a:xfrm>
        <a:prstGeom prst="rect">
          <a:avLst/>
        </a:prstGeom>
        <a:solidFill>
          <a:srgbClr val="D60093">
            <a:alpha val="50000"/>
          </a:srgbClr>
        </a:solidFill>
        <a:ln>
          <a:solidFill>
            <a:schemeClr val="accent1">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b="1">
              <a:solidFill>
                <a:schemeClr val="bg1"/>
              </a:solidFill>
              <a:latin typeface="+mn-lt"/>
              <a:ea typeface="+mn-ea"/>
              <a:cs typeface="+mn-cs"/>
            </a:rPr>
            <a:t>Onty Islam</a:t>
          </a:r>
        </a:p>
      </xdr:txBody>
    </xdr:sp>
    <xdr:clientData/>
  </xdr:twoCellAnchor>
  <xdr:twoCellAnchor>
    <xdr:from>
      <xdr:col>3</xdr:col>
      <xdr:colOff>174811</xdr:colOff>
      <xdr:row>18</xdr:row>
      <xdr:rowOff>148658</xdr:rowOff>
    </xdr:from>
    <xdr:to>
      <xdr:col>4</xdr:col>
      <xdr:colOff>1155729</xdr:colOff>
      <xdr:row>20</xdr:row>
      <xdr:rowOff>88593</xdr:rowOff>
    </xdr:to>
    <xdr:sp macro="" textlink="">
      <xdr:nvSpPr>
        <xdr:cNvPr id="37" name="Rectangle 36">
          <a:extLst>
            <a:ext uri="{FF2B5EF4-FFF2-40B4-BE49-F238E27FC236}">
              <a16:creationId xmlns:a16="http://schemas.microsoft.com/office/drawing/2014/main" id="{1C3D93A2-271A-4679-A584-3268E315E3EF}"/>
            </a:ext>
          </a:extLst>
        </xdr:cNvPr>
        <xdr:cNvSpPr/>
      </xdr:nvSpPr>
      <xdr:spPr>
        <a:xfrm>
          <a:off x="1754840" y="4216393"/>
          <a:ext cx="2706624" cy="365759"/>
        </a:xfrm>
        <a:prstGeom prst="rect">
          <a:avLst/>
        </a:prstGeom>
        <a:solidFill>
          <a:schemeClr val="tx1">
            <a:alpha val="60000"/>
          </a:schemeClr>
        </a:solidFill>
        <a:ln>
          <a:solidFill>
            <a:schemeClr val="accent1">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b="1">
              <a:solidFill>
                <a:schemeClr val="bg1"/>
              </a:solidFill>
              <a:latin typeface="+mn-lt"/>
              <a:ea typeface="+mn-ea"/>
              <a:cs typeface="+mn-cs"/>
            </a:rPr>
            <a:t>Khaled Md. Shiful Abeadin</a:t>
          </a:r>
        </a:p>
      </xdr:txBody>
    </xdr:sp>
    <xdr:clientData/>
  </xdr:twoCellAnchor>
  <xdr:twoCellAnchor>
    <xdr:from>
      <xdr:col>3</xdr:col>
      <xdr:colOff>174811</xdr:colOff>
      <xdr:row>20</xdr:row>
      <xdr:rowOff>141186</xdr:rowOff>
    </xdr:from>
    <xdr:to>
      <xdr:col>4</xdr:col>
      <xdr:colOff>1154204</xdr:colOff>
      <xdr:row>22</xdr:row>
      <xdr:rowOff>81123</xdr:rowOff>
    </xdr:to>
    <xdr:sp macro="" textlink="">
      <xdr:nvSpPr>
        <xdr:cNvPr id="38" name="Rectangle 37">
          <a:extLst>
            <a:ext uri="{FF2B5EF4-FFF2-40B4-BE49-F238E27FC236}">
              <a16:creationId xmlns:a16="http://schemas.microsoft.com/office/drawing/2014/main" id="{A4BEF483-EA51-49E7-B1D9-5ED09F145880}"/>
            </a:ext>
          </a:extLst>
        </xdr:cNvPr>
        <xdr:cNvSpPr/>
      </xdr:nvSpPr>
      <xdr:spPr>
        <a:xfrm>
          <a:off x="1754840" y="4634745"/>
          <a:ext cx="2705099" cy="365760"/>
        </a:xfrm>
        <a:prstGeom prst="rect">
          <a:avLst/>
        </a:prstGeom>
        <a:solidFill>
          <a:schemeClr val="tx1">
            <a:alpha val="72000"/>
          </a:schemeClr>
        </a:solidFill>
        <a:ln>
          <a:solidFill>
            <a:schemeClr val="accent1">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b="1">
              <a:solidFill>
                <a:srgbClr val="FFFF00"/>
              </a:solidFill>
              <a:latin typeface="+mn-lt"/>
              <a:ea typeface="+mn-ea"/>
              <a:cs typeface="+mn-cs"/>
            </a:rPr>
            <a:t>Mohammad Rajaul Karim</a:t>
          </a:r>
        </a:p>
      </xdr:txBody>
    </xdr:sp>
    <xdr:clientData/>
  </xdr:twoCellAnchor>
  <xdr:twoCellAnchor>
    <xdr:from>
      <xdr:col>4</xdr:col>
      <xdr:colOff>1212474</xdr:colOff>
      <xdr:row>7</xdr:row>
      <xdr:rowOff>201705</xdr:rowOff>
    </xdr:from>
    <xdr:to>
      <xdr:col>5</xdr:col>
      <xdr:colOff>2143907</xdr:colOff>
      <xdr:row>10</xdr:row>
      <xdr:rowOff>111610</xdr:rowOff>
    </xdr:to>
    <xdr:sp macro="" textlink="">
      <xdr:nvSpPr>
        <xdr:cNvPr id="40" name="Rectangle 39">
          <a:extLst>
            <a:ext uri="{FF2B5EF4-FFF2-40B4-BE49-F238E27FC236}">
              <a16:creationId xmlns:a16="http://schemas.microsoft.com/office/drawing/2014/main" id="{84F9B88F-F264-4245-89BE-75E055ABB82C}"/>
            </a:ext>
            <a:ext uri="{147F2762-F138-4A5C-976F-8EAC2B608ADB}">
              <a16:predDERef xmlns:a16="http://schemas.microsoft.com/office/drawing/2014/main" pred="{A4BEF483-EA51-49E7-B1D9-5ED09F145880}"/>
            </a:ext>
          </a:extLst>
        </xdr:cNvPr>
        <xdr:cNvSpPr/>
      </xdr:nvSpPr>
      <xdr:spPr>
        <a:xfrm>
          <a:off x="4619062" y="1927411"/>
          <a:ext cx="2926080" cy="548640"/>
        </a:xfrm>
        <a:prstGeom prst="rect">
          <a:avLst/>
        </a:prstGeom>
        <a:solidFill>
          <a:schemeClr val="accent4">
            <a:lumMod val="40000"/>
            <a:lumOff val="60000"/>
            <a:alpha val="66000"/>
          </a:schemeClr>
        </a:solidFill>
        <a:ln>
          <a:solidFill>
            <a:schemeClr val="accent1">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b="1">
              <a:solidFill>
                <a:schemeClr val="tx1"/>
              </a:solidFill>
              <a:latin typeface="+mn-lt"/>
              <a:ea typeface="+mn-lt"/>
              <a:cs typeface="+mn-lt"/>
            </a:rPr>
            <a:t>Officer, HR &amp; Admin</a:t>
          </a:r>
        </a:p>
        <a:p>
          <a:pPr marL="0" indent="0" algn="ctr"/>
          <a:r>
            <a:rPr lang="en-US" sz="1400" b="1">
              <a:solidFill>
                <a:schemeClr val="tx1"/>
              </a:solidFill>
              <a:latin typeface="+mn-lt"/>
              <a:ea typeface="+mn-lt"/>
              <a:cs typeface="+mn-lt"/>
            </a:rPr>
            <a:t>Officer, H</a:t>
          </a:r>
          <a:r>
            <a:rPr lang="en-US" sz="1400" b="1" i="0" u="none" strike="noStrike">
              <a:solidFill>
                <a:schemeClr val="tx1"/>
              </a:solidFill>
              <a:latin typeface="Calibri" panose="020F0502020204030204" pitchFamily="34" charset="0"/>
              <a:cs typeface="Calibri" panose="020F0502020204030204" pitchFamily="34" charset="0"/>
            </a:rPr>
            <a:t>SE</a:t>
          </a:r>
        </a:p>
      </xdr:txBody>
    </xdr:sp>
    <xdr:clientData/>
  </xdr:twoCellAnchor>
  <xdr:twoCellAnchor>
    <xdr:from>
      <xdr:col>4</xdr:col>
      <xdr:colOff>1212474</xdr:colOff>
      <xdr:row>10</xdr:row>
      <xdr:rowOff>184145</xdr:rowOff>
    </xdr:from>
    <xdr:to>
      <xdr:col>5</xdr:col>
      <xdr:colOff>2143907</xdr:colOff>
      <xdr:row>12</xdr:row>
      <xdr:rowOff>124080</xdr:rowOff>
    </xdr:to>
    <xdr:sp macro="" textlink="">
      <xdr:nvSpPr>
        <xdr:cNvPr id="41" name="Rectangle 40">
          <a:extLst>
            <a:ext uri="{FF2B5EF4-FFF2-40B4-BE49-F238E27FC236}">
              <a16:creationId xmlns:a16="http://schemas.microsoft.com/office/drawing/2014/main" id="{F88BF4C5-AD17-427C-AB98-860698D580FC}"/>
            </a:ext>
          </a:extLst>
        </xdr:cNvPr>
        <xdr:cNvSpPr/>
      </xdr:nvSpPr>
      <xdr:spPr>
        <a:xfrm>
          <a:off x="4518209" y="2548586"/>
          <a:ext cx="2926080" cy="365759"/>
        </a:xfrm>
        <a:prstGeom prst="rect">
          <a:avLst/>
        </a:prstGeom>
        <a:solidFill>
          <a:srgbClr val="66FF66">
            <a:alpha val="42000"/>
          </a:srgbClr>
        </a:solidFill>
        <a:ln>
          <a:solidFill>
            <a:schemeClr val="accent1">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b="1">
              <a:solidFill>
                <a:schemeClr val="tx1"/>
              </a:solidFill>
              <a:latin typeface="+mn-lt"/>
              <a:ea typeface="+mn-ea"/>
              <a:cs typeface="+mn-cs"/>
            </a:rPr>
            <a:t>Engineer, Project &amp; IE</a:t>
          </a:r>
        </a:p>
      </xdr:txBody>
    </xdr:sp>
    <xdr:clientData/>
  </xdr:twoCellAnchor>
  <xdr:twoCellAnchor>
    <xdr:from>
      <xdr:col>4</xdr:col>
      <xdr:colOff>1212475</xdr:colOff>
      <xdr:row>12</xdr:row>
      <xdr:rowOff>175552</xdr:rowOff>
    </xdr:from>
    <xdr:to>
      <xdr:col>5</xdr:col>
      <xdr:colOff>2140322</xdr:colOff>
      <xdr:row>14</xdr:row>
      <xdr:rowOff>115490</xdr:rowOff>
    </xdr:to>
    <xdr:sp macro="" textlink="">
      <xdr:nvSpPr>
        <xdr:cNvPr id="42" name="Rectangle 41">
          <a:extLst>
            <a:ext uri="{FF2B5EF4-FFF2-40B4-BE49-F238E27FC236}">
              <a16:creationId xmlns:a16="http://schemas.microsoft.com/office/drawing/2014/main" id="{9ADA5109-83EA-4E39-8EE7-525D7888C228}"/>
            </a:ext>
          </a:extLst>
        </xdr:cNvPr>
        <xdr:cNvSpPr/>
      </xdr:nvSpPr>
      <xdr:spPr>
        <a:xfrm>
          <a:off x="4518210" y="2965817"/>
          <a:ext cx="2922494" cy="365761"/>
        </a:xfrm>
        <a:prstGeom prst="rect">
          <a:avLst/>
        </a:prstGeom>
        <a:solidFill>
          <a:srgbClr val="0070C0">
            <a:alpha val="50000"/>
          </a:srgbClr>
        </a:solidFill>
        <a:ln>
          <a:solidFill>
            <a:schemeClr val="accent1">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b="1">
              <a:solidFill>
                <a:schemeClr val="bg1"/>
              </a:solidFill>
              <a:latin typeface="+mn-lt"/>
              <a:ea typeface="+mn-ea"/>
              <a:cs typeface="+mn-cs"/>
            </a:rPr>
            <a:t>Manager, Technical</a:t>
          </a:r>
        </a:p>
      </xdr:txBody>
    </xdr:sp>
    <xdr:clientData/>
  </xdr:twoCellAnchor>
  <xdr:twoCellAnchor>
    <xdr:from>
      <xdr:col>4</xdr:col>
      <xdr:colOff>1212474</xdr:colOff>
      <xdr:row>14</xdr:row>
      <xdr:rowOff>166962</xdr:rowOff>
    </xdr:from>
    <xdr:to>
      <xdr:col>5</xdr:col>
      <xdr:colOff>2143907</xdr:colOff>
      <xdr:row>16</xdr:row>
      <xdr:rowOff>106897</xdr:rowOff>
    </xdr:to>
    <xdr:sp macro="" textlink="">
      <xdr:nvSpPr>
        <xdr:cNvPr id="43" name="Rectangle 42">
          <a:extLst>
            <a:ext uri="{FF2B5EF4-FFF2-40B4-BE49-F238E27FC236}">
              <a16:creationId xmlns:a16="http://schemas.microsoft.com/office/drawing/2014/main" id="{C8BD8D45-FC17-40BF-BA4F-070717770F14}"/>
            </a:ext>
          </a:extLst>
        </xdr:cNvPr>
        <xdr:cNvSpPr/>
      </xdr:nvSpPr>
      <xdr:spPr>
        <a:xfrm>
          <a:off x="4518209" y="3383050"/>
          <a:ext cx="2926080" cy="365759"/>
        </a:xfrm>
        <a:prstGeom prst="rect">
          <a:avLst/>
        </a:prstGeom>
        <a:solidFill>
          <a:srgbClr val="C00000">
            <a:alpha val="54000"/>
          </a:srgbClr>
        </a:solidFill>
        <a:ln>
          <a:solidFill>
            <a:schemeClr val="accent1">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b="1">
              <a:solidFill>
                <a:schemeClr val="bg1"/>
              </a:solidFill>
              <a:latin typeface="+mn-lt"/>
              <a:ea typeface="+mn-ea"/>
              <a:cs typeface="+mn-cs"/>
            </a:rPr>
            <a:t>Officer, Quality</a:t>
          </a:r>
        </a:p>
      </xdr:txBody>
    </xdr:sp>
    <xdr:clientData/>
  </xdr:twoCellAnchor>
  <xdr:twoCellAnchor>
    <xdr:from>
      <xdr:col>4</xdr:col>
      <xdr:colOff>1212474</xdr:colOff>
      <xdr:row>16</xdr:row>
      <xdr:rowOff>158369</xdr:rowOff>
    </xdr:from>
    <xdr:to>
      <xdr:col>5</xdr:col>
      <xdr:colOff>2143907</xdr:colOff>
      <xdr:row>18</xdr:row>
      <xdr:rowOff>98307</xdr:rowOff>
    </xdr:to>
    <xdr:sp macro="" textlink="">
      <xdr:nvSpPr>
        <xdr:cNvPr id="44" name="Rectangle 43">
          <a:extLst>
            <a:ext uri="{FF2B5EF4-FFF2-40B4-BE49-F238E27FC236}">
              <a16:creationId xmlns:a16="http://schemas.microsoft.com/office/drawing/2014/main" id="{C8F955DB-6B60-49D6-9EF3-C55C849A87C5}"/>
            </a:ext>
          </a:extLst>
        </xdr:cNvPr>
        <xdr:cNvSpPr/>
      </xdr:nvSpPr>
      <xdr:spPr>
        <a:xfrm>
          <a:off x="4518209" y="3800281"/>
          <a:ext cx="2926080" cy="365761"/>
        </a:xfrm>
        <a:prstGeom prst="rect">
          <a:avLst/>
        </a:prstGeom>
        <a:solidFill>
          <a:srgbClr val="D60093">
            <a:alpha val="50000"/>
          </a:srgbClr>
        </a:solidFill>
        <a:ln>
          <a:solidFill>
            <a:schemeClr val="accent1">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b="1">
              <a:solidFill>
                <a:schemeClr val="bg1"/>
              </a:solidFill>
              <a:latin typeface="+mn-lt"/>
              <a:ea typeface="+mn-ea"/>
              <a:cs typeface="+mn-cs"/>
            </a:rPr>
            <a:t>Officer, HSE</a:t>
          </a:r>
        </a:p>
      </xdr:txBody>
    </xdr:sp>
    <xdr:clientData/>
  </xdr:twoCellAnchor>
  <xdr:twoCellAnchor>
    <xdr:from>
      <xdr:col>4</xdr:col>
      <xdr:colOff>1212476</xdr:colOff>
      <xdr:row>18</xdr:row>
      <xdr:rowOff>149779</xdr:rowOff>
    </xdr:from>
    <xdr:to>
      <xdr:col>5</xdr:col>
      <xdr:colOff>2143909</xdr:colOff>
      <xdr:row>20</xdr:row>
      <xdr:rowOff>89714</xdr:rowOff>
    </xdr:to>
    <xdr:sp macro="" textlink="">
      <xdr:nvSpPr>
        <xdr:cNvPr id="45" name="Rectangle 44">
          <a:extLst>
            <a:ext uri="{FF2B5EF4-FFF2-40B4-BE49-F238E27FC236}">
              <a16:creationId xmlns:a16="http://schemas.microsoft.com/office/drawing/2014/main" id="{9A55DF6B-1433-45B9-853C-2B8590C87DC2}"/>
            </a:ext>
          </a:extLst>
        </xdr:cNvPr>
        <xdr:cNvSpPr/>
      </xdr:nvSpPr>
      <xdr:spPr>
        <a:xfrm>
          <a:off x="4518211" y="4217514"/>
          <a:ext cx="2926080" cy="365759"/>
        </a:xfrm>
        <a:prstGeom prst="rect">
          <a:avLst/>
        </a:prstGeom>
        <a:solidFill>
          <a:schemeClr val="tx1">
            <a:alpha val="60000"/>
          </a:schemeClr>
        </a:solidFill>
        <a:ln>
          <a:solidFill>
            <a:schemeClr val="accent1">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b="1">
              <a:solidFill>
                <a:schemeClr val="bg1"/>
              </a:solidFill>
              <a:latin typeface="+mn-lt"/>
              <a:ea typeface="+mn-ea"/>
              <a:cs typeface="+mn-cs"/>
            </a:rPr>
            <a:t>Deputy manager, R&amp;D</a:t>
          </a:r>
        </a:p>
      </xdr:txBody>
    </xdr:sp>
    <xdr:clientData/>
  </xdr:twoCellAnchor>
  <xdr:twoCellAnchor>
    <xdr:from>
      <xdr:col>4</xdr:col>
      <xdr:colOff>1212475</xdr:colOff>
      <xdr:row>20</xdr:row>
      <xdr:rowOff>141186</xdr:rowOff>
    </xdr:from>
    <xdr:to>
      <xdr:col>5</xdr:col>
      <xdr:colOff>2143908</xdr:colOff>
      <xdr:row>22</xdr:row>
      <xdr:rowOff>81123</xdr:rowOff>
    </xdr:to>
    <xdr:sp macro="" textlink="">
      <xdr:nvSpPr>
        <xdr:cNvPr id="46" name="Rectangle 45">
          <a:extLst>
            <a:ext uri="{FF2B5EF4-FFF2-40B4-BE49-F238E27FC236}">
              <a16:creationId xmlns:a16="http://schemas.microsoft.com/office/drawing/2014/main" id="{024F2981-8901-4977-A594-D830C0471747}"/>
            </a:ext>
          </a:extLst>
        </xdr:cNvPr>
        <xdr:cNvSpPr/>
      </xdr:nvSpPr>
      <xdr:spPr>
        <a:xfrm>
          <a:off x="4518210" y="4634745"/>
          <a:ext cx="2926080" cy="365760"/>
        </a:xfrm>
        <a:prstGeom prst="rect">
          <a:avLst/>
        </a:prstGeom>
        <a:solidFill>
          <a:schemeClr val="tx1">
            <a:alpha val="72000"/>
          </a:schemeClr>
        </a:solidFill>
        <a:ln>
          <a:solidFill>
            <a:schemeClr val="accent1">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b="1">
              <a:solidFill>
                <a:srgbClr val="FFFF00"/>
              </a:solidFill>
              <a:latin typeface="+mn-lt"/>
              <a:ea typeface="+mn-ea"/>
              <a:cs typeface="+mn-cs"/>
            </a:rPr>
            <a:t>Manager, Q/C</a:t>
          </a:r>
        </a:p>
      </xdr:txBody>
    </xdr:sp>
    <xdr:clientData/>
  </xdr:twoCellAnchor>
  <xdr:twoCellAnchor>
    <xdr:from>
      <xdr:col>5</xdr:col>
      <xdr:colOff>2198592</xdr:colOff>
      <xdr:row>7</xdr:row>
      <xdr:rowOff>201705</xdr:rowOff>
    </xdr:from>
    <xdr:to>
      <xdr:col>5</xdr:col>
      <xdr:colOff>4905216</xdr:colOff>
      <xdr:row>10</xdr:row>
      <xdr:rowOff>111610</xdr:rowOff>
    </xdr:to>
    <xdr:sp macro="" textlink="">
      <xdr:nvSpPr>
        <xdr:cNvPr id="47" name="Rectangle 46">
          <a:extLst>
            <a:ext uri="{FF2B5EF4-FFF2-40B4-BE49-F238E27FC236}">
              <a16:creationId xmlns:a16="http://schemas.microsoft.com/office/drawing/2014/main" id="{0B7D160D-A889-40B2-B988-215EFB771162}"/>
            </a:ext>
          </a:extLst>
        </xdr:cNvPr>
        <xdr:cNvSpPr/>
      </xdr:nvSpPr>
      <xdr:spPr>
        <a:xfrm>
          <a:off x="7599827" y="1927411"/>
          <a:ext cx="2706624" cy="548640"/>
        </a:xfrm>
        <a:prstGeom prst="rect">
          <a:avLst/>
        </a:prstGeom>
        <a:solidFill>
          <a:schemeClr val="accent4">
            <a:lumMod val="40000"/>
            <a:lumOff val="60000"/>
            <a:alpha val="66000"/>
          </a:schemeClr>
        </a:solidFill>
        <a:ln>
          <a:solidFill>
            <a:schemeClr val="accent1">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400" b="1">
            <a:solidFill>
              <a:schemeClr val="tx1"/>
            </a:solidFill>
            <a:latin typeface="+mn-lt"/>
            <a:ea typeface="+mn-ea"/>
            <a:cs typeface="+mn-cs"/>
          </a:endParaRPr>
        </a:p>
      </xdr:txBody>
    </xdr:sp>
    <xdr:clientData/>
  </xdr:twoCellAnchor>
  <xdr:twoCellAnchor>
    <xdr:from>
      <xdr:col>5</xdr:col>
      <xdr:colOff>2198592</xdr:colOff>
      <xdr:row>10</xdr:row>
      <xdr:rowOff>184145</xdr:rowOff>
    </xdr:from>
    <xdr:to>
      <xdr:col>5</xdr:col>
      <xdr:colOff>4905216</xdr:colOff>
      <xdr:row>12</xdr:row>
      <xdr:rowOff>124080</xdr:rowOff>
    </xdr:to>
    <xdr:sp macro="" textlink="">
      <xdr:nvSpPr>
        <xdr:cNvPr id="48" name="Rectangle 47">
          <a:extLst>
            <a:ext uri="{FF2B5EF4-FFF2-40B4-BE49-F238E27FC236}">
              <a16:creationId xmlns:a16="http://schemas.microsoft.com/office/drawing/2014/main" id="{539D7479-F06C-43A4-B3B0-078FA738D85D}"/>
            </a:ext>
          </a:extLst>
        </xdr:cNvPr>
        <xdr:cNvSpPr/>
      </xdr:nvSpPr>
      <xdr:spPr>
        <a:xfrm>
          <a:off x="7498974" y="2548586"/>
          <a:ext cx="2706624" cy="365759"/>
        </a:xfrm>
        <a:prstGeom prst="rect">
          <a:avLst/>
        </a:prstGeom>
        <a:solidFill>
          <a:srgbClr val="66FF66">
            <a:alpha val="42000"/>
          </a:srgbClr>
        </a:solidFill>
        <a:ln>
          <a:solidFill>
            <a:schemeClr val="accent1">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400" b="1">
            <a:solidFill>
              <a:schemeClr val="tx1"/>
            </a:solidFill>
            <a:latin typeface="+mn-lt"/>
            <a:ea typeface="+mn-ea"/>
            <a:cs typeface="+mn-cs"/>
          </a:endParaRPr>
        </a:p>
      </xdr:txBody>
    </xdr:sp>
    <xdr:clientData/>
  </xdr:twoCellAnchor>
  <xdr:twoCellAnchor>
    <xdr:from>
      <xdr:col>5</xdr:col>
      <xdr:colOff>2198592</xdr:colOff>
      <xdr:row>12</xdr:row>
      <xdr:rowOff>175552</xdr:rowOff>
    </xdr:from>
    <xdr:to>
      <xdr:col>5</xdr:col>
      <xdr:colOff>4905216</xdr:colOff>
      <xdr:row>14</xdr:row>
      <xdr:rowOff>115490</xdr:rowOff>
    </xdr:to>
    <xdr:sp macro="" textlink="">
      <xdr:nvSpPr>
        <xdr:cNvPr id="49" name="Rectangle 48">
          <a:extLst>
            <a:ext uri="{FF2B5EF4-FFF2-40B4-BE49-F238E27FC236}">
              <a16:creationId xmlns:a16="http://schemas.microsoft.com/office/drawing/2014/main" id="{62D71984-FAD6-4348-8B69-78A59F41EB96}"/>
            </a:ext>
          </a:extLst>
        </xdr:cNvPr>
        <xdr:cNvSpPr/>
      </xdr:nvSpPr>
      <xdr:spPr>
        <a:xfrm>
          <a:off x="7498974" y="2965817"/>
          <a:ext cx="2706624" cy="365761"/>
        </a:xfrm>
        <a:prstGeom prst="rect">
          <a:avLst/>
        </a:prstGeom>
        <a:solidFill>
          <a:srgbClr val="0070C0">
            <a:alpha val="50000"/>
          </a:srgbClr>
        </a:solidFill>
        <a:ln>
          <a:solidFill>
            <a:schemeClr val="accent1">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400" b="1">
            <a:solidFill>
              <a:schemeClr val="bg1"/>
            </a:solidFill>
            <a:latin typeface="+mn-lt"/>
            <a:ea typeface="+mn-ea"/>
            <a:cs typeface="+mn-cs"/>
          </a:endParaRPr>
        </a:p>
      </xdr:txBody>
    </xdr:sp>
    <xdr:clientData/>
  </xdr:twoCellAnchor>
  <xdr:twoCellAnchor>
    <xdr:from>
      <xdr:col>5</xdr:col>
      <xdr:colOff>2198592</xdr:colOff>
      <xdr:row>14</xdr:row>
      <xdr:rowOff>166962</xdr:rowOff>
    </xdr:from>
    <xdr:to>
      <xdr:col>5</xdr:col>
      <xdr:colOff>4905216</xdr:colOff>
      <xdr:row>16</xdr:row>
      <xdr:rowOff>106897</xdr:rowOff>
    </xdr:to>
    <xdr:sp macro="" textlink="">
      <xdr:nvSpPr>
        <xdr:cNvPr id="50" name="Rectangle 49">
          <a:extLst>
            <a:ext uri="{FF2B5EF4-FFF2-40B4-BE49-F238E27FC236}">
              <a16:creationId xmlns:a16="http://schemas.microsoft.com/office/drawing/2014/main" id="{2213ADF4-2C76-4768-B1F5-C9626A053E19}"/>
            </a:ext>
          </a:extLst>
        </xdr:cNvPr>
        <xdr:cNvSpPr/>
      </xdr:nvSpPr>
      <xdr:spPr>
        <a:xfrm>
          <a:off x="7498974" y="3383050"/>
          <a:ext cx="2706624" cy="365759"/>
        </a:xfrm>
        <a:prstGeom prst="rect">
          <a:avLst/>
        </a:prstGeom>
        <a:solidFill>
          <a:srgbClr val="C00000">
            <a:alpha val="54000"/>
          </a:srgbClr>
        </a:solidFill>
        <a:ln>
          <a:solidFill>
            <a:schemeClr val="accent1">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400" b="1">
            <a:solidFill>
              <a:schemeClr val="bg1"/>
            </a:solidFill>
            <a:latin typeface="+mn-lt"/>
            <a:ea typeface="+mn-ea"/>
            <a:cs typeface="+mn-cs"/>
          </a:endParaRPr>
        </a:p>
      </xdr:txBody>
    </xdr:sp>
    <xdr:clientData/>
  </xdr:twoCellAnchor>
  <xdr:twoCellAnchor>
    <xdr:from>
      <xdr:col>5</xdr:col>
      <xdr:colOff>2198592</xdr:colOff>
      <xdr:row>16</xdr:row>
      <xdr:rowOff>158369</xdr:rowOff>
    </xdr:from>
    <xdr:to>
      <xdr:col>5</xdr:col>
      <xdr:colOff>4905216</xdr:colOff>
      <xdr:row>18</xdr:row>
      <xdr:rowOff>98307</xdr:rowOff>
    </xdr:to>
    <xdr:sp macro="" textlink="">
      <xdr:nvSpPr>
        <xdr:cNvPr id="51" name="Rectangle 50">
          <a:extLst>
            <a:ext uri="{FF2B5EF4-FFF2-40B4-BE49-F238E27FC236}">
              <a16:creationId xmlns:a16="http://schemas.microsoft.com/office/drawing/2014/main" id="{40331854-D5AE-496D-8B54-507F2E37295B}"/>
            </a:ext>
          </a:extLst>
        </xdr:cNvPr>
        <xdr:cNvSpPr/>
      </xdr:nvSpPr>
      <xdr:spPr>
        <a:xfrm>
          <a:off x="7498974" y="3800281"/>
          <a:ext cx="2706624" cy="365761"/>
        </a:xfrm>
        <a:prstGeom prst="rect">
          <a:avLst/>
        </a:prstGeom>
        <a:solidFill>
          <a:srgbClr val="D60093">
            <a:alpha val="50000"/>
          </a:srgbClr>
        </a:solidFill>
        <a:ln>
          <a:solidFill>
            <a:schemeClr val="accent1">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400" b="1">
            <a:solidFill>
              <a:schemeClr val="bg1"/>
            </a:solidFill>
            <a:latin typeface="+mn-lt"/>
            <a:ea typeface="+mn-ea"/>
            <a:cs typeface="+mn-cs"/>
          </a:endParaRPr>
        </a:p>
      </xdr:txBody>
    </xdr:sp>
    <xdr:clientData/>
  </xdr:twoCellAnchor>
  <xdr:twoCellAnchor>
    <xdr:from>
      <xdr:col>5</xdr:col>
      <xdr:colOff>2198592</xdr:colOff>
      <xdr:row>18</xdr:row>
      <xdr:rowOff>149779</xdr:rowOff>
    </xdr:from>
    <xdr:to>
      <xdr:col>5</xdr:col>
      <xdr:colOff>4905216</xdr:colOff>
      <xdr:row>20</xdr:row>
      <xdr:rowOff>89714</xdr:rowOff>
    </xdr:to>
    <xdr:sp macro="" textlink="">
      <xdr:nvSpPr>
        <xdr:cNvPr id="52" name="Rectangle 51">
          <a:extLst>
            <a:ext uri="{FF2B5EF4-FFF2-40B4-BE49-F238E27FC236}">
              <a16:creationId xmlns:a16="http://schemas.microsoft.com/office/drawing/2014/main" id="{16EB84A3-6378-4094-B7AE-4EB112124D40}"/>
            </a:ext>
          </a:extLst>
        </xdr:cNvPr>
        <xdr:cNvSpPr/>
      </xdr:nvSpPr>
      <xdr:spPr>
        <a:xfrm>
          <a:off x="7498974" y="4217514"/>
          <a:ext cx="2706624" cy="365759"/>
        </a:xfrm>
        <a:prstGeom prst="rect">
          <a:avLst/>
        </a:prstGeom>
        <a:solidFill>
          <a:schemeClr val="tx1">
            <a:alpha val="60000"/>
          </a:schemeClr>
        </a:solidFill>
        <a:ln>
          <a:solidFill>
            <a:schemeClr val="accent1">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400" b="1">
            <a:solidFill>
              <a:schemeClr val="bg1"/>
            </a:solidFill>
            <a:latin typeface="+mn-lt"/>
            <a:ea typeface="+mn-ea"/>
            <a:cs typeface="+mn-cs"/>
          </a:endParaRPr>
        </a:p>
      </xdr:txBody>
    </xdr:sp>
    <xdr:clientData/>
  </xdr:twoCellAnchor>
  <xdr:twoCellAnchor>
    <xdr:from>
      <xdr:col>5</xdr:col>
      <xdr:colOff>2199355</xdr:colOff>
      <xdr:row>20</xdr:row>
      <xdr:rowOff>141186</xdr:rowOff>
    </xdr:from>
    <xdr:to>
      <xdr:col>5</xdr:col>
      <xdr:colOff>4904454</xdr:colOff>
      <xdr:row>22</xdr:row>
      <xdr:rowOff>81123</xdr:rowOff>
    </xdr:to>
    <xdr:sp macro="" textlink="">
      <xdr:nvSpPr>
        <xdr:cNvPr id="53" name="Rectangle 52">
          <a:extLst>
            <a:ext uri="{FF2B5EF4-FFF2-40B4-BE49-F238E27FC236}">
              <a16:creationId xmlns:a16="http://schemas.microsoft.com/office/drawing/2014/main" id="{C84BD12A-EF65-42A3-96D3-55D9E723252F}"/>
            </a:ext>
          </a:extLst>
        </xdr:cNvPr>
        <xdr:cNvSpPr/>
      </xdr:nvSpPr>
      <xdr:spPr>
        <a:xfrm>
          <a:off x="7499737" y="4634745"/>
          <a:ext cx="2705099" cy="365760"/>
        </a:xfrm>
        <a:prstGeom prst="rect">
          <a:avLst/>
        </a:prstGeom>
        <a:solidFill>
          <a:schemeClr val="tx1">
            <a:alpha val="72000"/>
          </a:schemeClr>
        </a:solidFill>
        <a:ln>
          <a:solidFill>
            <a:schemeClr val="accent1">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400" b="1">
            <a:solidFill>
              <a:srgbClr val="FFFF00"/>
            </a:solidFill>
            <a:latin typeface="+mn-lt"/>
            <a:ea typeface="+mn-ea"/>
            <a:cs typeface="+mn-cs"/>
          </a:endParaRPr>
        </a:p>
      </xdr:txBody>
    </xdr:sp>
    <xdr:clientData/>
  </xdr:twoCellAnchor>
  <xdr:twoCellAnchor>
    <xdr:from>
      <xdr:col>5</xdr:col>
      <xdr:colOff>4950756</xdr:colOff>
      <xdr:row>7</xdr:row>
      <xdr:rowOff>201705</xdr:rowOff>
    </xdr:from>
    <xdr:to>
      <xdr:col>7</xdr:col>
      <xdr:colOff>445005</xdr:colOff>
      <xdr:row>10</xdr:row>
      <xdr:rowOff>111610</xdr:rowOff>
    </xdr:to>
    <xdr:sp macro="" textlink="">
      <xdr:nvSpPr>
        <xdr:cNvPr id="54" name="Rectangle 53">
          <a:extLst>
            <a:ext uri="{FF2B5EF4-FFF2-40B4-BE49-F238E27FC236}">
              <a16:creationId xmlns:a16="http://schemas.microsoft.com/office/drawing/2014/main" id="{5425CE95-86B6-454E-A8C3-1989D65F8D6E}"/>
            </a:ext>
          </a:extLst>
        </xdr:cNvPr>
        <xdr:cNvSpPr/>
      </xdr:nvSpPr>
      <xdr:spPr>
        <a:xfrm>
          <a:off x="10351991" y="1927411"/>
          <a:ext cx="4178808" cy="548640"/>
        </a:xfrm>
        <a:prstGeom prst="rect">
          <a:avLst/>
        </a:prstGeom>
        <a:solidFill>
          <a:schemeClr val="accent4">
            <a:lumMod val="40000"/>
            <a:lumOff val="60000"/>
            <a:alpha val="66000"/>
          </a:schemeClr>
        </a:solidFill>
        <a:ln>
          <a:solidFill>
            <a:schemeClr val="accent1">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400" b="1">
            <a:solidFill>
              <a:schemeClr val="tx1"/>
            </a:solidFill>
            <a:latin typeface="+mn-lt"/>
            <a:ea typeface="+mn-ea"/>
            <a:cs typeface="+mn-cs"/>
          </a:endParaRPr>
        </a:p>
      </xdr:txBody>
    </xdr:sp>
    <xdr:clientData/>
  </xdr:twoCellAnchor>
  <xdr:twoCellAnchor>
    <xdr:from>
      <xdr:col>5</xdr:col>
      <xdr:colOff>4950756</xdr:colOff>
      <xdr:row>10</xdr:row>
      <xdr:rowOff>180410</xdr:rowOff>
    </xdr:from>
    <xdr:to>
      <xdr:col>7</xdr:col>
      <xdr:colOff>445005</xdr:colOff>
      <xdr:row>12</xdr:row>
      <xdr:rowOff>120345</xdr:rowOff>
    </xdr:to>
    <xdr:sp macro="" textlink="">
      <xdr:nvSpPr>
        <xdr:cNvPr id="55" name="Rectangle 54">
          <a:extLst>
            <a:ext uri="{FF2B5EF4-FFF2-40B4-BE49-F238E27FC236}">
              <a16:creationId xmlns:a16="http://schemas.microsoft.com/office/drawing/2014/main" id="{3628445D-8250-46DA-80C2-BDDB5FD8B799}"/>
            </a:ext>
          </a:extLst>
        </xdr:cNvPr>
        <xdr:cNvSpPr/>
      </xdr:nvSpPr>
      <xdr:spPr>
        <a:xfrm>
          <a:off x="10251138" y="2544851"/>
          <a:ext cx="4178808" cy="365759"/>
        </a:xfrm>
        <a:prstGeom prst="rect">
          <a:avLst/>
        </a:prstGeom>
        <a:solidFill>
          <a:srgbClr val="66FF66">
            <a:alpha val="42000"/>
          </a:srgbClr>
        </a:solidFill>
        <a:ln>
          <a:solidFill>
            <a:schemeClr val="accent1">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400" b="1">
            <a:solidFill>
              <a:schemeClr val="tx1"/>
            </a:solidFill>
            <a:latin typeface="+mn-lt"/>
            <a:ea typeface="+mn-ea"/>
            <a:cs typeface="+mn-cs"/>
          </a:endParaRPr>
        </a:p>
      </xdr:txBody>
    </xdr:sp>
    <xdr:clientData/>
  </xdr:twoCellAnchor>
  <xdr:twoCellAnchor>
    <xdr:from>
      <xdr:col>5</xdr:col>
      <xdr:colOff>4950756</xdr:colOff>
      <xdr:row>12</xdr:row>
      <xdr:rowOff>172564</xdr:rowOff>
    </xdr:from>
    <xdr:to>
      <xdr:col>7</xdr:col>
      <xdr:colOff>445005</xdr:colOff>
      <xdr:row>14</xdr:row>
      <xdr:rowOff>112502</xdr:rowOff>
    </xdr:to>
    <xdr:sp macro="" textlink="">
      <xdr:nvSpPr>
        <xdr:cNvPr id="56" name="Rectangle 55">
          <a:extLst>
            <a:ext uri="{FF2B5EF4-FFF2-40B4-BE49-F238E27FC236}">
              <a16:creationId xmlns:a16="http://schemas.microsoft.com/office/drawing/2014/main" id="{2B30CDEA-E874-4AF5-A41C-1AB358243213}"/>
            </a:ext>
          </a:extLst>
        </xdr:cNvPr>
        <xdr:cNvSpPr/>
      </xdr:nvSpPr>
      <xdr:spPr>
        <a:xfrm>
          <a:off x="10251138" y="2962829"/>
          <a:ext cx="4178808" cy="365761"/>
        </a:xfrm>
        <a:prstGeom prst="rect">
          <a:avLst/>
        </a:prstGeom>
        <a:solidFill>
          <a:srgbClr val="0070C0">
            <a:alpha val="50000"/>
          </a:srgbClr>
        </a:solidFill>
        <a:ln>
          <a:solidFill>
            <a:schemeClr val="accent1">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400" b="1">
            <a:solidFill>
              <a:schemeClr val="bg1"/>
            </a:solidFill>
            <a:latin typeface="+mn-lt"/>
            <a:ea typeface="+mn-ea"/>
            <a:cs typeface="+mn-cs"/>
          </a:endParaRPr>
        </a:p>
      </xdr:txBody>
    </xdr:sp>
    <xdr:clientData/>
  </xdr:twoCellAnchor>
  <xdr:twoCellAnchor>
    <xdr:from>
      <xdr:col>5</xdr:col>
      <xdr:colOff>4950756</xdr:colOff>
      <xdr:row>14</xdr:row>
      <xdr:rowOff>164721</xdr:rowOff>
    </xdr:from>
    <xdr:to>
      <xdr:col>7</xdr:col>
      <xdr:colOff>445005</xdr:colOff>
      <xdr:row>16</xdr:row>
      <xdr:rowOff>104656</xdr:rowOff>
    </xdr:to>
    <xdr:sp macro="" textlink="">
      <xdr:nvSpPr>
        <xdr:cNvPr id="57" name="Rectangle 56">
          <a:extLst>
            <a:ext uri="{FF2B5EF4-FFF2-40B4-BE49-F238E27FC236}">
              <a16:creationId xmlns:a16="http://schemas.microsoft.com/office/drawing/2014/main" id="{6984AA68-6C16-4189-91ED-DF5522EF9325}"/>
            </a:ext>
          </a:extLst>
        </xdr:cNvPr>
        <xdr:cNvSpPr/>
      </xdr:nvSpPr>
      <xdr:spPr>
        <a:xfrm>
          <a:off x="10251138" y="3380809"/>
          <a:ext cx="4178808" cy="365759"/>
        </a:xfrm>
        <a:prstGeom prst="rect">
          <a:avLst/>
        </a:prstGeom>
        <a:solidFill>
          <a:srgbClr val="C00000">
            <a:alpha val="54000"/>
          </a:srgbClr>
        </a:solidFill>
        <a:ln>
          <a:solidFill>
            <a:schemeClr val="accent1">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400" b="1">
            <a:solidFill>
              <a:schemeClr val="bg1"/>
            </a:solidFill>
            <a:latin typeface="+mn-lt"/>
            <a:ea typeface="+mn-ea"/>
            <a:cs typeface="+mn-cs"/>
          </a:endParaRPr>
        </a:p>
      </xdr:txBody>
    </xdr:sp>
    <xdr:clientData/>
  </xdr:twoCellAnchor>
  <xdr:twoCellAnchor>
    <xdr:from>
      <xdr:col>5</xdr:col>
      <xdr:colOff>4950756</xdr:colOff>
      <xdr:row>16</xdr:row>
      <xdr:rowOff>156875</xdr:rowOff>
    </xdr:from>
    <xdr:to>
      <xdr:col>7</xdr:col>
      <xdr:colOff>445005</xdr:colOff>
      <xdr:row>18</xdr:row>
      <xdr:rowOff>96813</xdr:rowOff>
    </xdr:to>
    <xdr:sp macro="" textlink="">
      <xdr:nvSpPr>
        <xdr:cNvPr id="58" name="Rectangle 57">
          <a:extLst>
            <a:ext uri="{FF2B5EF4-FFF2-40B4-BE49-F238E27FC236}">
              <a16:creationId xmlns:a16="http://schemas.microsoft.com/office/drawing/2014/main" id="{80E57FFA-D77A-4BDB-AA95-24FECE0B4BA2}"/>
            </a:ext>
          </a:extLst>
        </xdr:cNvPr>
        <xdr:cNvSpPr/>
      </xdr:nvSpPr>
      <xdr:spPr>
        <a:xfrm>
          <a:off x="10251138" y="3798787"/>
          <a:ext cx="4178808" cy="365761"/>
        </a:xfrm>
        <a:prstGeom prst="rect">
          <a:avLst/>
        </a:prstGeom>
        <a:solidFill>
          <a:srgbClr val="D60093">
            <a:alpha val="50000"/>
          </a:srgbClr>
        </a:solidFill>
        <a:ln>
          <a:solidFill>
            <a:schemeClr val="accent1">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400" b="1">
            <a:solidFill>
              <a:schemeClr val="bg1"/>
            </a:solidFill>
            <a:latin typeface="+mn-lt"/>
            <a:ea typeface="+mn-ea"/>
            <a:cs typeface="+mn-cs"/>
          </a:endParaRPr>
        </a:p>
      </xdr:txBody>
    </xdr:sp>
    <xdr:clientData/>
  </xdr:twoCellAnchor>
  <xdr:twoCellAnchor>
    <xdr:from>
      <xdr:col>5</xdr:col>
      <xdr:colOff>4950756</xdr:colOff>
      <xdr:row>18</xdr:row>
      <xdr:rowOff>149032</xdr:rowOff>
    </xdr:from>
    <xdr:to>
      <xdr:col>7</xdr:col>
      <xdr:colOff>445005</xdr:colOff>
      <xdr:row>20</xdr:row>
      <xdr:rowOff>88967</xdr:rowOff>
    </xdr:to>
    <xdr:sp macro="" textlink="">
      <xdr:nvSpPr>
        <xdr:cNvPr id="59" name="Rectangle 58">
          <a:extLst>
            <a:ext uri="{FF2B5EF4-FFF2-40B4-BE49-F238E27FC236}">
              <a16:creationId xmlns:a16="http://schemas.microsoft.com/office/drawing/2014/main" id="{0C83766D-6FDC-4206-B750-89417DE61442}"/>
            </a:ext>
          </a:extLst>
        </xdr:cNvPr>
        <xdr:cNvSpPr/>
      </xdr:nvSpPr>
      <xdr:spPr>
        <a:xfrm>
          <a:off x="10251138" y="4216767"/>
          <a:ext cx="4178808" cy="365759"/>
        </a:xfrm>
        <a:prstGeom prst="rect">
          <a:avLst/>
        </a:prstGeom>
        <a:solidFill>
          <a:schemeClr val="tx1">
            <a:alpha val="60000"/>
          </a:schemeClr>
        </a:solidFill>
        <a:ln>
          <a:solidFill>
            <a:schemeClr val="accent1">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400" b="1">
            <a:solidFill>
              <a:schemeClr val="bg1"/>
            </a:solidFill>
            <a:latin typeface="+mn-lt"/>
            <a:ea typeface="+mn-ea"/>
            <a:cs typeface="+mn-cs"/>
          </a:endParaRPr>
        </a:p>
      </xdr:txBody>
    </xdr:sp>
    <xdr:clientData/>
  </xdr:twoCellAnchor>
  <xdr:twoCellAnchor>
    <xdr:from>
      <xdr:col>5</xdr:col>
      <xdr:colOff>4951518</xdr:colOff>
      <xdr:row>20</xdr:row>
      <xdr:rowOff>141186</xdr:rowOff>
    </xdr:from>
    <xdr:to>
      <xdr:col>7</xdr:col>
      <xdr:colOff>445767</xdr:colOff>
      <xdr:row>22</xdr:row>
      <xdr:rowOff>81123</xdr:rowOff>
    </xdr:to>
    <xdr:sp macro="" textlink="">
      <xdr:nvSpPr>
        <xdr:cNvPr id="60" name="Rectangle 59">
          <a:extLst>
            <a:ext uri="{FF2B5EF4-FFF2-40B4-BE49-F238E27FC236}">
              <a16:creationId xmlns:a16="http://schemas.microsoft.com/office/drawing/2014/main" id="{D769D13D-3786-4392-AB55-D477E107E7B0}"/>
            </a:ext>
          </a:extLst>
        </xdr:cNvPr>
        <xdr:cNvSpPr/>
      </xdr:nvSpPr>
      <xdr:spPr>
        <a:xfrm>
          <a:off x="10251900" y="4634745"/>
          <a:ext cx="4178808" cy="365760"/>
        </a:xfrm>
        <a:prstGeom prst="rect">
          <a:avLst/>
        </a:prstGeom>
        <a:solidFill>
          <a:schemeClr val="tx1">
            <a:alpha val="72000"/>
          </a:schemeClr>
        </a:solidFill>
        <a:ln>
          <a:solidFill>
            <a:schemeClr val="accent1">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400" b="1">
            <a:solidFill>
              <a:srgbClr val="FFFF00"/>
            </a:solidFill>
            <a:latin typeface="+mn-lt"/>
            <a:ea typeface="+mn-ea"/>
            <a:cs typeface="+mn-cs"/>
          </a:endParaRPr>
        </a:p>
      </xdr:txBody>
    </xdr:sp>
    <xdr:clientData/>
  </xdr:twoCellAnchor>
  <xdr:twoCellAnchor>
    <xdr:from>
      <xdr:col>2</xdr:col>
      <xdr:colOff>762001</xdr:colOff>
      <xdr:row>1</xdr:row>
      <xdr:rowOff>165844</xdr:rowOff>
    </xdr:from>
    <xdr:to>
      <xdr:col>4</xdr:col>
      <xdr:colOff>212911</xdr:colOff>
      <xdr:row>3</xdr:row>
      <xdr:rowOff>132225</xdr:rowOff>
    </xdr:to>
    <xdr:grpSp>
      <xdr:nvGrpSpPr>
        <xdr:cNvPr id="90" name="Group 89">
          <a:extLst>
            <a:ext uri="{FF2B5EF4-FFF2-40B4-BE49-F238E27FC236}">
              <a16:creationId xmlns:a16="http://schemas.microsoft.com/office/drawing/2014/main" id="{23558B6A-90E4-5581-6368-9D406C1B15D6}"/>
            </a:ext>
          </a:extLst>
        </xdr:cNvPr>
        <xdr:cNvGrpSpPr/>
      </xdr:nvGrpSpPr>
      <xdr:grpSpPr>
        <a:xfrm>
          <a:off x="1250675" y="372909"/>
          <a:ext cx="2366388" cy="571012"/>
          <a:chOff x="616326" y="918880"/>
          <a:chExt cx="2364439" cy="582705"/>
        </a:xfrm>
      </xdr:grpSpPr>
      <xdr:grpSp>
        <xdr:nvGrpSpPr>
          <xdr:cNvPr id="9" name="Group 8">
            <a:extLst>
              <a:ext uri="{FF2B5EF4-FFF2-40B4-BE49-F238E27FC236}">
                <a16:creationId xmlns:a16="http://schemas.microsoft.com/office/drawing/2014/main" id="{5A9522C8-76E3-7E5A-D81C-AD2DF54ADAC2}"/>
              </a:ext>
            </a:extLst>
          </xdr:cNvPr>
          <xdr:cNvGrpSpPr/>
        </xdr:nvGrpSpPr>
        <xdr:grpSpPr>
          <a:xfrm>
            <a:off x="616326" y="918880"/>
            <a:ext cx="2364439" cy="582705"/>
            <a:chOff x="616326" y="918880"/>
            <a:chExt cx="2364439" cy="582705"/>
          </a:xfrm>
        </xdr:grpSpPr>
        <xdr:sp macro="" textlink="">
          <xdr:nvSpPr>
            <xdr:cNvPr id="7" name="Rectangle: Rounded Corners 6">
              <a:extLst>
                <a:ext uri="{FF2B5EF4-FFF2-40B4-BE49-F238E27FC236}">
                  <a16:creationId xmlns:a16="http://schemas.microsoft.com/office/drawing/2014/main" id="{82946C96-4C9E-5955-6AE4-C44F2134487C}"/>
                </a:ext>
              </a:extLst>
            </xdr:cNvPr>
            <xdr:cNvSpPr/>
          </xdr:nvSpPr>
          <xdr:spPr>
            <a:xfrm>
              <a:off x="616326" y="918880"/>
              <a:ext cx="2364439" cy="582705"/>
            </a:xfrm>
            <a:prstGeom prst="roundRect">
              <a:avLst>
                <a:gd name="adj" fmla="val 50000"/>
              </a:avLst>
            </a:prstGeom>
            <a:solidFill>
              <a:srgbClr val="C0000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b="1">
                <a:solidFill>
                  <a:schemeClr val="tx1"/>
                </a:solidFill>
              </a:endParaRPr>
            </a:p>
          </xdr:txBody>
        </xdr:sp>
        <xdr:grpSp>
          <xdr:nvGrpSpPr>
            <xdr:cNvPr id="18" name="Group 17">
              <a:extLst>
                <a:ext uri="{FF2B5EF4-FFF2-40B4-BE49-F238E27FC236}">
                  <a16:creationId xmlns:a16="http://schemas.microsoft.com/office/drawing/2014/main" id="{61F9877B-91F7-DD1D-2542-F1FBCC7C677D}"/>
                </a:ext>
              </a:extLst>
            </xdr:cNvPr>
            <xdr:cNvGrpSpPr/>
          </xdr:nvGrpSpPr>
          <xdr:grpSpPr>
            <a:xfrm>
              <a:off x="661146" y="952498"/>
              <a:ext cx="2207560" cy="515471"/>
              <a:chOff x="3216087" y="2386853"/>
              <a:chExt cx="2207560" cy="515471"/>
            </a:xfrm>
          </xdr:grpSpPr>
          <xdr:sp macro="" textlink="">
            <xdr:nvSpPr>
              <xdr:cNvPr id="16" name="Rectangle: Rounded Corners 15">
                <a:extLst>
                  <a:ext uri="{FF2B5EF4-FFF2-40B4-BE49-F238E27FC236}">
                    <a16:creationId xmlns:a16="http://schemas.microsoft.com/office/drawing/2014/main" id="{9EA77981-2EF5-4938-AC5A-21E6CA6E92C9}"/>
                  </a:ext>
                </a:extLst>
              </xdr:cNvPr>
              <xdr:cNvSpPr/>
            </xdr:nvSpPr>
            <xdr:spPr>
              <a:xfrm>
                <a:off x="3477188" y="2442882"/>
                <a:ext cx="1946459" cy="403412"/>
              </a:xfrm>
              <a:prstGeom prst="roundRect">
                <a:avLst>
                  <a:gd name="adj" fmla="val 50000"/>
                </a:avLst>
              </a:prstGeom>
              <a:solidFill>
                <a:srgbClr val="FDF3ED"/>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r" defTabSz="914400" eaLnBrk="1" fontAlgn="auto" latinLnBrk="0" hangingPunct="1">
                  <a:lnSpc>
                    <a:spcPct val="100000"/>
                  </a:lnSpc>
                  <a:spcBef>
                    <a:spcPts val="0"/>
                  </a:spcBef>
                  <a:spcAft>
                    <a:spcPts val="0"/>
                  </a:spcAft>
                  <a:buClrTx/>
                  <a:buSzTx/>
                  <a:buFontTx/>
                  <a:buNone/>
                  <a:tabLst/>
                  <a:defRPr/>
                </a:pPr>
                <a:r>
                  <a:rPr lang="en-US" sz="1400" b="1">
                    <a:solidFill>
                      <a:srgbClr val="C00000"/>
                    </a:solidFill>
                    <a:effectLst/>
                    <a:latin typeface="+mn-lt"/>
                    <a:ea typeface="+mn-ea"/>
                    <a:cs typeface="+mn-cs"/>
                  </a:rPr>
                  <a:t>Sustainability Team</a:t>
                </a:r>
                <a:endParaRPr lang="en-US" sz="1400">
                  <a:solidFill>
                    <a:srgbClr val="C00000"/>
                  </a:solidFill>
                  <a:effectLst/>
                </a:endParaRPr>
              </a:p>
            </xdr:txBody>
          </xdr:sp>
          <xdr:sp macro="" textlink="">
            <xdr:nvSpPr>
              <xdr:cNvPr id="17" name="Oval 16">
                <a:extLst>
                  <a:ext uri="{FF2B5EF4-FFF2-40B4-BE49-F238E27FC236}">
                    <a16:creationId xmlns:a16="http://schemas.microsoft.com/office/drawing/2014/main" id="{3A978376-DE0C-2550-F530-BB2633B7CA1D}"/>
                  </a:ext>
                </a:extLst>
              </xdr:cNvPr>
              <xdr:cNvSpPr/>
            </xdr:nvSpPr>
            <xdr:spPr>
              <a:xfrm>
                <a:off x="3216087" y="2386853"/>
                <a:ext cx="515471" cy="515471"/>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grpSp>
      <xdr:pic>
        <xdr:nvPicPr>
          <xdr:cNvPr id="62" name="Graphic 61" descr="Sustainability with solid fill">
            <a:extLst>
              <a:ext uri="{FF2B5EF4-FFF2-40B4-BE49-F238E27FC236}">
                <a16:creationId xmlns:a16="http://schemas.microsoft.com/office/drawing/2014/main" id="{1DF0BF9A-D0DF-736B-7D25-10736469A2D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705970" y="997323"/>
            <a:ext cx="403411" cy="403411"/>
          </a:xfrm>
          <a:prstGeom prst="rect">
            <a:avLst/>
          </a:prstGeom>
        </xdr:spPr>
      </xdr:pic>
    </xdr:grpSp>
    <xdr:clientData/>
  </xdr:twoCellAnchor>
  <xdr:twoCellAnchor>
    <xdr:from>
      <xdr:col>3</xdr:col>
      <xdr:colOff>965947</xdr:colOff>
      <xdr:row>5</xdr:row>
      <xdr:rowOff>129988</xdr:rowOff>
    </xdr:from>
    <xdr:to>
      <xdr:col>4</xdr:col>
      <xdr:colOff>448235</xdr:colOff>
      <xdr:row>7</xdr:row>
      <xdr:rowOff>107575</xdr:rowOff>
    </xdr:to>
    <xdr:sp macro="" textlink="">
      <xdr:nvSpPr>
        <xdr:cNvPr id="27" name="Rectangle: Rounded Corners 26">
          <a:extLst>
            <a:ext uri="{FF2B5EF4-FFF2-40B4-BE49-F238E27FC236}">
              <a16:creationId xmlns:a16="http://schemas.microsoft.com/office/drawing/2014/main" id="{C7B3FCE1-B172-4BCA-AF10-CE796DF6A085}"/>
            </a:ext>
          </a:extLst>
        </xdr:cNvPr>
        <xdr:cNvSpPr/>
      </xdr:nvSpPr>
      <xdr:spPr>
        <a:xfrm>
          <a:off x="2545976" y="1429870"/>
          <a:ext cx="1207994" cy="403411"/>
        </a:xfrm>
        <a:prstGeom prst="roundRect">
          <a:avLst>
            <a:gd name="adj" fmla="val 50000"/>
          </a:avLst>
        </a:prstGeom>
        <a:solidFill>
          <a:schemeClr val="accent5">
            <a:lumMod val="50000"/>
            <a:alpha val="8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bg1"/>
              </a:solidFill>
            </a:rPr>
            <a:t>Leader</a:t>
          </a:r>
          <a:endParaRPr lang="en-US" sz="1100" b="1">
            <a:solidFill>
              <a:schemeClr val="bg1"/>
            </a:solidFill>
          </a:endParaRPr>
        </a:p>
      </xdr:txBody>
    </xdr:sp>
    <xdr:clientData/>
  </xdr:twoCellAnchor>
  <xdr:twoCellAnchor>
    <xdr:from>
      <xdr:col>5</xdr:col>
      <xdr:colOff>5393586</xdr:colOff>
      <xdr:row>25</xdr:row>
      <xdr:rowOff>207432</xdr:rowOff>
    </xdr:from>
    <xdr:to>
      <xdr:col>6</xdr:col>
      <xdr:colOff>712664</xdr:colOff>
      <xdr:row>26</xdr:row>
      <xdr:rowOff>177401</xdr:rowOff>
    </xdr:to>
    <xdr:sp macro="" textlink="">
      <xdr:nvSpPr>
        <xdr:cNvPr id="12" name="Rectangle: Rounded Corners 11">
          <a:hlinkClick xmlns:r="http://schemas.openxmlformats.org/officeDocument/2006/relationships" r:id="rId5"/>
          <a:extLst>
            <a:ext uri="{FF2B5EF4-FFF2-40B4-BE49-F238E27FC236}">
              <a16:creationId xmlns:a16="http://schemas.microsoft.com/office/drawing/2014/main" id="{2B37B7F0-E01E-4CB0-A2E3-DC04EA6DC8F6}"/>
            </a:ext>
          </a:extLst>
        </xdr:cNvPr>
        <xdr:cNvSpPr/>
      </xdr:nvSpPr>
      <xdr:spPr>
        <a:xfrm>
          <a:off x="10794821" y="5765550"/>
          <a:ext cx="731519" cy="182880"/>
        </a:xfrm>
        <a:prstGeom prst="roundRect">
          <a:avLst>
            <a:gd name="adj" fmla="val 0"/>
          </a:avLst>
        </a:prstGeom>
        <a:solidFill>
          <a:schemeClr val="bg2">
            <a:lumMod val="25000"/>
            <a:alpha val="75000"/>
          </a:schemeClr>
        </a:solidFill>
        <a:ln w="63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solidFill>
                <a:schemeClr val="bg1"/>
              </a:solidFill>
            </a:rPr>
            <a:t>People</a:t>
          </a:r>
          <a:endParaRPr lang="en-US" sz="600" b="1">
            <a:solidFill>
              <a:schemeClr val="bg1"/>
            </a:solidFill>
          </a:endParaRPr>
        </a:p>
      </xdr:txBody>
    </xdr:sp>
    <xdr:clientData/>
  </xdr:twoCellAnchor>
  <xdr:twoCellAnchor>
    <xdr:from>
      <xdr:col>6</xdr:col>
      <xdr:colOff>1595467</xdr:colOff>
      <xdr:row>25</xdr:row>
      <xdr:rowOff>207432</xdr:rowOff>
    </xdr:from>
    <xdr:to>
      <xdr:col>6</xdr:col>
      <xdr:colOff>2418427</xdr:colOff>
      <xdr:row>26</xdr:row>
      <xdr:rowOff>177401</xdr:rowOff>
    </xdr:to>
    <xdr:sp macro="" textlink="">
      <xdr:nvSpPr>
        <xdr:cNvPr id="13" name="Rectangle: Rounded Corners 12">
          <a:hlinkClick xmlns:r="http://schemas.openxmlformats.org/officeDocument/2006/relationships" r:id="rId6"/>
          <a:extLst>
            <a:ext uri="{FF2B5EF4-FFF2-40B4-BE49-F238E27FC236}">
              <a16:creationId xmlns:a16="http://schemas.microsoft.com/office/drawing/2014/main" id="{B9CB79EC-672A-46E9-8BBA-7F68E72F6A14}"/>
            </a:ext>
          </a:extLst>
        </xdr:cNvPr>
        <xdr:cNvSpPr/>
      </xdr:nvSpPr>
      <xdr:spPr>
        <a:xfrm>
          <a:off x="12409143" y="5765550"/>
          <a:ext cx="822960" cy="182880"/>
        </a:xfrm>
        <a:prstGeom prst="roundRect">
          <a:avLst>
            <a:gd name="adj" fmla="val 0"/>
          </a:avLst>
        </a:prstGeom>
        <a:solidFill>
          <a:schemeClr val="bg2">
            <a:lumMod val="25000"/>
            <a:alpha val="75000"/>
          </a:schemeClr>
        </a:solidFill>
        <a:ln w="63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solidFill>
                <a:schemeClr val="bg1"/>
              </a:solidFill>
            </a:rPr>
            <a:t>Production</a:t>
          </a:r>
          <a:endParaRPr lang="en-US" sz="600" b="1">
            <a:solidFill>
              <a:schemeClr val="bg1"/>
            </a:solidFill>
          </a:endParaRPr>
        </a:p>
      </xdr:txBody>
    </xdr:sp>
    <xdr:clientData/>
  </xdr:twoCellAnchor>
  <xdr:twoCellAnchor>
    <xdr:from>
      <xdr:col>5</xdr:col>
      <xdr:colOff>5393586</xdr:colOff>
      <xdr:row>27</xdr:row>
      <xdr:rowOff>30504</xdr:rowOff>
    </xdr:from>
    <xdr:to>
      <xdr:col>6</xdr:col>
      <xdr:colOff>712664</xdr:colOff>
      <xdr:row>28</xdr:row>
      <xdr:rowOff>472</xdr:rowOff>
    </xdr:to>
    <xdr:sp macro="" textlink="">
      <xdr:nvSpPr>
        <xdr:cNvPr id="14" name="Rectangle: Rounded Corners 13">
          <a:hlinkClick xmlns:r="http://schemas.openxmlformats.org/officeDocument/2006/relationships" r:id="rId7"/>
          <a:extLst>
            <a:ext uri="{FF2B5EF4-FFF2-40B4-BE49-F238E27FC236}">
              <a16:creationId xmlns:a16="http://schemas.microsoft.com/office/drawing/2014/main" id="{6F086EDC-10EA-43AD-BB66-A01A11E19184}"/>
            </a:ext>
          </a:extLst>
        </xdr:cNvPr>
        <xdr:cNvSpPr/>
      </xdr:nvSpPr>
      <xdr:spPr>
        <a:xfrm>
          <a:off x="10693968" y="6014445"/>
          <a:ext cx="731520" cy="182880"/>
        </a:xfrm>
        <a:prstGeom prst="roundRect">
          <a:avLst>
            <a:gd name="adj" fmla="val 0"/>
          </a:avLst>
        </a:prstGeom>
        <a:solidFill>
          <a:schemeClr val="bg2">
            <a:lumMod val="25000"/>
            <a:alpha val="75000"/>
          </a:schemeClr>
        </a:solidFill>
        <a:ln w="63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solidFill>
                <a:schemeClr val="bg1"/>
              </a:solidFill>
            </a:rPr>
            <a:t>Climate</a:t>
          </a:r>
          <a:endParaRPr lang="en-US" sz="600" b="1">
            <a:solidFill>
              <a:schemeClr val="bg1"/>
            </a:solidFill>
          </a:endParaRPr>
        </a:p>
      </xdr:txBody>
    </xdr:sp>
    <xdr:clientData/>
  </xdr:twoCellAnchor>
  <xdr:twoCellAnchor>
    <xdr:from>
      <xdr:col>5</xdr:col>
      <xdr:colOff>5393585</xdr:colOff>
      <xdr:row>29</xdr:row>
      <xdr:rowOff>96369</xdr:rowOff>
    </xdr:from>
    <xdr:to>
      <xdr:col>6</xdr:col>
      <xdr:colOff>712663</xdr:colOff>
      <xdr:row>30</xdr:row>
      <xdr:rowOff>66338</xdr:rowOff>
    </xdr:to>
    <xdr:sp macro="" textlink="">
      <xdr:nvSpPr>
        <xdr:cNvPr id="26" name="Rectangle: Rounded Corners 25">
          <a:hlinkClick xmlns:r="http://schemas.openxmlformats.org/officeDocument/2006/relationships" r:id="rId8"/>
          <a:extLst>
            <a:ext uri="{FF2B5EF4-FFF2-40B4-BE49-F238E27FC236}">
              <a16:creationId xmlns:a16="http://schemas.microsoft.com/office/drawing/2014/main" id="{0AF8F916-7374-07E8-0068-BD1573E325B8}"/>
            </a:ext>
          </a:extLst>
        </xdr:cNvPr>
        <xdr:cNvSpPr/>
      </xdr:nvSpPr>
      <xdr:spPr>
        <a:xfrm>
          <a:off x="10794820" y="6506134"/>
          <a:ext cx="731519" cy="182880"/>
        </a:xfrm>
        <a:prstGeom prst="roundRect">
          <a:avLst>
            <a:gd name="adj" fmla="val 7122"/>
          </a:avLst>
        </a:prstGeom>
        <a:solidFill>
          <a:schemeClr val="bg2">
            <a:lumMod val="25000"/>
            <a:alpha val="75000"/>
          </a:schemeClr>
        </a:solidFill>
        <a:ln w="63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solidFill>
                <a:schemeClr val="bg1"/>
              </a:solidFill>
            </a:rPr>
            <a:t>Water</a:t>
          </a:r>
          <a:endParaRPr lang="en-US" sz="600" b="1">
            <a:solidFill>
              <a:schemeClr val="bg1"/>
            </a:solidFill>
          </a:endParaRPr>
        </a:p>
      </xdr:txBody>
    </xdr:sp>
    <xdr:clientData/>
  </xdr:twoCellAnchor>
  <xdr:twoCellAnchor>
    <xdr:from>
      <xdr:col>5</xdr:col>
      <xdr:colOff>5393586</xdr:colOff>
      <xdr:row>28</xdr:row>
      <xdr:rowOff>66487</xdr:rowOff>
    </xdr:from>
    <xdr:to>
      <xdr:col>6</xdr:col>
      <xdr:colOff>712664</xdr:colOff>
      <xdr:row>29</xdr:row>
      <xdr:rowOff>36455</xdr:rowOff>
    </xdr:to>
    <xdr:sp macro="" textlink="">
      <xdr:nvSpPr>
        <xdr:cNvPr id="39" name="Rectangle: Rounded Corners 38">
          <a:hlinkClick xmlns:r="http://schemas.openxmlformats.org/officeDocument/2006/relationships" r:id="rId9"/>
          <a:extLst>
            <a:ext uri="{FF2B5EF4-FFF2-40B4-BE49-F238E27FC236}">
              <a16:creationId xmlns:a16="http://schemas.microsoft.com/office/drawing/2014/main" id="{AA503516-1964-4361-9B45-7D588789ACAC}"/>
            </a:ext>
          </a:extLst>
        </xdr:cNvPr>
        <xdr:cNvSpPr/>
      </xdr:nvSpPr>
      <xdr:spPr>
        <a:xfrm>
          <a:off x="10693968" y="6263340"/>
          <a:ext cx="731520" cy="182880"/>
        </a:xfrm>
        <a:prstGeom prst="roundRect">
          <a:avLst>
            <a:gd name="adj" fmla="val 0"/>
          </a:avLst>
        </a:prstGeom>
        <a:solidFill>
          <a:schemeClr val="bg2">
            <a:lumMod val="25000"/>
            <a:alpha val="75000"/>
          </a:schemeClr>
        </a:solidFill>
        <a:ln w="63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solidFill>
                <a:schemeClr val="bg1"/>
              </a:solidFill>
            </a:rPr>
            <a:t>GHG</a:t>
          </a:r>
          <a:endParaRPr lang="en-US" sz="600" b="1">
            <a:solidFill>
              <a:schemeClr val="bg1"/>
            </a:solidFill>
          </a:endParaRPr>
        </a:p>
      </xdr:txBody>
    </xdr:sp>
    <xdr:clientData/>
  </xdr:twoCellAnchor>
  <xdr:twoCellAnchor>
    <xdr:from>
      <xdr:col>6</xdr:col>
      <xdr:colOff>783029</xdr:colOff>
      <xdr:row>25</xdr:row>
      <xdr:rowOff>207432</xdr:rowOff>
    </xdr:from>
    <xdr:to>
      <xdr:col>6</xdr:col>
      <xdr:colOff>1514549</xdr:colOff>
      <xdr:row>26</xdr:row>
      <xdr:rowOff>177401</xdr:rowOff>
    </xdr:to>
    <xdr:sp macro="" textlink="">
      <xdr:nvSpPr>
        <xdr:cNvPr id="61" name="Rectangle: Rounded Corners 60">
          <a:hlinkClick xmlns:r="http://schemas.openxmlformats.org/officeDocument/2006/relationships" r:id="rId10"/>
          <a:extLst>
            <a:ext uri="{FF2B5EF4-FFF2-40B4-BE49-F238E27FC236}">
              <a16:creationId xmlns:a16="http://schemas.microsoft.com/office/drawing/2014/main" id="{9984C5B7-3B14-0CC2-60DD-D8FAE91E257D}"/>
            </a:ext>
          </a:extLst>
        </xdr:cNvPr>
        <xdr:cNvSpPr/>
      </xdr:nvSpPr>
      <xdr:spPr>
        <a:xfrm>
          <a:off x="11596705" y="5765550"/>
          <a:ext cx="731520" cy="182880"/>
        </a:xfrm>
        <a:prstGeom prst="roundRect">
          <a:avLst>
            <a:gd name="adj" fmla="val 0"/>
          </a:avLst>
        </a:prstGeom>
        <a:solidFill>
          <a:schemeClr val="bg2">
            <a:lumMod val="25000"/>
            <a:alpha val="75000"/>
          </a:schemeClr>
        </a:solidFill>
        <a:ln w="63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solidFill>
                <a:schemeClr val="bg1"/>
              </a:solidFill>
            </a:rPr>
            <a:t>Energy</a:t>
          </a:r>
          <a:endParaRPr lang="en-US" sz="600" b="1">
            <a:solidFill>
              <a:schemeClr val="bg1"/>
            </a:solidFill>
          </a:endParaRPr>
        </a:p>
      </xdr:txBody>
    </xdr:sp>
    <xdr:clientData/>
  </xdr:twoCellAnchor>
  <xdr:twoCellAnchor>
    <xdr:from>
      <xdr:col>6</xdr:col>
      <xdr:colOff>783029</xdr:colOff>
      <xdr:row>27</xdr:row>
      <xdr:rowOff>28470</xdr:rowOff>
    </xdr:from>
    <xdr:to>
      <xdr:col>6</xdr:col>
      <xdr:colOff>1514549</xdr:colOff>
      <xdr:row>27</xdr:row>
      <xdr:rowOff>211350</xdr:rowOff>
    </xdr:to>
    <xdr:sp macro="" textlink="">
      <xdr:nvSpPr>
        <xdr:cNvPr id="63" name="Rectangle: Rounded Corners 62">
          <a:hlinkClick xmlns:r="http://schemas.openxmlformats.org/officeDocument/2006/relationships" r:id="rId11"/>
          <a:extLst>
            <a:ext uri="{FF2B5EF4-FFF2-40B4-BE49-F238E27FC236}">
              <a16:creationId xmlns:a16="http://schemas.microsoft.com/office/drawing/2014/main" id="{34F53CBE-9B9F-481A-BCD4-5F06DE87218B}"/>
            </a:ext>
          </a:extLst>
        </xdr:cNvPr>
        <xdr:cNvSpPr/>
      </xdr:nvSpPr>
      <xdr:spPr>
        <a:xfrm>
          <a:off x="11596705" y="6012411"/>
          <a:ext cx="731520" cy="182880"/>
        </a:xfrm>
        <a:prstGeom prst="roundRect">
          <a:avLst>
            <a:gd name="adj" fmla="val 7122"/>
          </a:avLst>
        </a:prstGeom>
        <a:solidFill>
          <a:schemeClr val="bg2">
            <a:lumMod val="25000"/>
            <a:alpha val="75000"/>
          </a:schemeClr>
        </a:solidFill>
        <a:ln w="63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solidFill>
                <a:schemeClr val="bg1"/>
              </a:solidFill>
            </a:rPr>
            <a:t>Waste</a:t>
          </a:r>
          <a:endParaRPr lang="en-US" sz="600" b="1">
            <a:solidFill>
              <a:schemeClr val="bg1"/>
            </a:solidFill>
          </a:endParaRPr>
        </a:p>
      </xdr:txBody>
    </xdr:sp>
    <xdr:clientData/>
  </xdr:twoCellAnchor>
  <xdr:twoCellAnchor>
    <xdr:from>
      <xdr:col>6</xdr:col>
      <xdr:colOff>1595467</xdr:colOff>
      <xdr:row>27</xdr:row>
      <xdr:rowOff>28470</xdr:rowOff>
    </xdr:from>
    <xdr:to>
      <xdr:col>6</xdr:col>
      <xdr:colOff>2418427</xdr:colOff>
      <xdr:row>27</xdr:row>
      <xdr:rowOff>211350</xdr:rowOff>
    </xdr:to>
    <xdr:sp macro="" textlink="">
      <xdr:nvSpPr>
        <xdr:cNvPr id="67" name="Rectangle: Rounded Corners 66">
          <a:hlinkClick xmlns:r="http://schemas.openxmlformats.org/officeDocument/2006/relationships" r:id="rId12"/>
          <a:extLst>
            <a:ext uri="{FF2B5EF4-FFF2-40B4-BE49-F238E27FC236}">
              <a16:creationId xmlns:a16="http://schemas.microsoft.com/office/drawing/2014/main" id="{5E9BD3F6-4888-4111-8A02-DCA78335AC0C}"/>
            </a:ext>
          </a:extLst>
        </xdr:cNvPr>
        <xdr:cNvSpPr/>
      </xdr:nvSpPr>
      <xdr:spPr>
        <a:xfrm>
          <a:off x="12409143" y="6012411"/>
          <a:ext cx="822960" cy="182880"/>
        </a:xfrm>
        <a:prstGeom prst="roundRect">
          <a:avLst>
            <a:gd name="adj" fmla="val 0"/>
          </a:avLst>
        </a:prstGeom>
        <a:solidFill>
          <a:schemeClr val="bg2">
            <a:lumMod val="25000"/>
            <a:alpha val="75000"/>
          </a:schemeClr>
        </a:solidFill>
        <a:ln w="63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solidFill>
                <a:schemeClr val="bg1"/>
              </a:solidFill>
            </a:rPr>
            <a:t>Product</a:t>
          </a:r>
          <a:endParaRPr lang="en-US" sz="600" b="1">
            <a:solidFill>
              <a:schemeClr val="bg1"/>
            </a:solidFill>
          </a:endParaRPr>
        </a:p>
      </xdr:txBody>
    </xdr:sp>
    <xdr:clientData/>
  </xdr:twoCellAnchor>
  <xdr:twoCellAnchor>
    <xdr:from>
      <xdr:col>6</xdr:col>
      <xdr:colOff>780390</xdr:colOff>
      <xdr:row>29</xdr:row>
      <xdr:rowOff>96369</xdr:rowOff>
    </xdr:from>
    <xdr:to>
      <xdr:col>6</xdr:col>
      <xdr:colOff>1511910</xdr:colOff>
      <xdr:row>30</xdr:row>
      <xdr:rowOff>66338</xdr:rowOff>
    </xdr:to>
    <xdr:sp macro="" textlink="">
      <xdr:nvSpPr>
        <xdr:cNvPr id="68" name="Rectangle: Rounded Corners 67">
          <a:hlinkClick xmlns:r="http://schemas.openxmlformats.org/officeDocument/2006/relationships" r:id="rId13"/>
          <a:extLst>
            <a:ext uri="{FF2B5EF4-FFF2-40B4-BE49-F238E27FC236}">
              <a16:creationId xmlns:a16="http://schemas.microsoft.com/office/drawing/2014/main" id="{CBBC1815-6EEC-4F04-8128-882AC22D8EEF}"/>
            </a:ext>
          </a:extLst>
        </xdr:cNvPr>
        <xdr:cNvSpPr/>
      </xdr:nvSpPr>
      <xdr:spPr>
        <a:xfrm>
          <a:off x="11594066" y="6506134"/>
          <a:ext cx="731520" cy="182880"/>
        </a:xfrm>
        <a:prstGeom prst="roundRect">
          <a:avLst>
            <a:gd name="adj" fmla="val 0"/>
          </a:avLst>
        </a:prstGeom>
        <a:solidFill>
          <a:schemeClr val="bg2">
            <a:lumMod val="25000"/>
            <a:alpha val="75000"/>
          </a:schemeClr>
        </a:solidFill>
        <a:ln w="63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solidFill>
                <a:schemeClr val="bg1"/>
              </a:solidFill>
            </a:rPr>
            <a:t>Material</a:t>
          </a:r>
          <a:endParaRPr lang="en-US" sz="600" b="1">
            <a:solidFill>
              <a:schemeClr val="bg1"/>
            </a:solidFill>
          </a:endParaRPr>
        </a:p>
      </xdr:txBody>
    </xdr:sp>
    <xdr:clientData/>
  </xdr:twoCellAnchor>
  <xdr:twoCellAnchor>
    <xdr:from>
      <xdr:col>6</xdr:col>
      <xdr:colOff>780390</xdr:colOff>
      <xdr:row>28</xdr:row>
      <xdr:rowOff>62419</xdr:rowOff>
    </xdr:from>
    <xdr:to>
      <xdr:col>6</xdr:col>
      <xdr:colOff>1511910</xdr:colOff>
      <xdr:row>29</xdr:row>
      <xdr:rowOff>32387</xdr:rowOff>
    </xdr:to>
    <xdr:sp macro="" textlink="">
      <xdr:nvSpPr>
        <xdr:cNvPr id="69" name="Rectangle: Rounded Corners 68">
          <a:hlinkClick xmlns:r="http://schemas.openxmlformats.org/officeDocument/2006/relationships" r:id="rId14"/>
          <a:extLst>
            <a:ext uri="{FF2B5EF4-FFF2-40B4-BE49-F238E27FC236}">
              <a16:creationId xmlns:a16="http://schemas.microsoft.com/office/drawing/2014/main" id="{A36690F0-37F0-4E86-906F-949292BF13CF}"/>
            </a:ext>
          </a:extLst>
        </xdr:cNvPr>
        <xdr:cNvSpPr/>
      </xdr:nvSpPr>
      <xdr:spPr>
        <a:xfrm>
          <a:off x="11594066" y="6259272"/>
          <a:ext cx="731520" cy="182880"/>
        </a:xfrm>
        <a:prstGeom prst="roundRect">
          <a:avLst>
            <a:gd name="adj" fmla="val 0"/>
          </a:avLst>
        </a:prstGeom>
        <a:solidFill>
          <a:schemeClr val="bg2">
            <a:lumMod val="25000"/>
            <a:alpha val="75000"/>
          </a:schemeClr>
        </a:solidFill>
        <a:ln w="63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solidFill>
                <a:schemeClr val="bg1"/>
              </a:solidFill>
            </a:rPr>
            <a:t>Packaging</a:t>
          </a:r>
          <a:endParaRPr lang="en-US" sz="600" b="1">
            <a:solidFill>
              <a:schemeClr val="bg1"/>
            </a:solidFill>
          </a:endParaRPr>
        </a:p>
      </xdr:txBody>
    </xdr:sp>
    <xdr:clientData/>
  </xdr:twoCellAnchor>
  <xdr:twoCellAnchor>
    <xdr:from>
      <xdr:col>6</xdr:col>
      <xdr:colOff>2566147</xdr:colOff>
      <xdr:row>28</xdr:row>
      <xdr:rowOff>95374</xdr:rowOff>
    </xdr:from>
    <xdr:to>
      <xdr:col>7</xdr:col>
      <xdr:colOff>427886</xdr:colOff>
      <xdr:row>30</xdr:row>
      <xdr:rowOff>112059</xdr:rowOff>
    </xdr:to>
    <xdr:sp macro="" textlink="">
      <xdr:nvSpPr>
        <xdr:cNvPr id="73" name="Rectangle: Rounded Corners 72">
          <a:hlinkClick xmlns:r="http://schemas.openxmlformats.org/officeDocument/2006/relationships" r:id="rId15"/>
          <a:extLst>
            <a:ext uri="{FF2B5EF4-FFF2-40B4-BE49-F238E27FC236}">
              <a16:creationId xmlns:a16="http://schemas.microsoft.com/office/drawing/2014/main" id="{1F9D534E-84DF-496E-97EF-A80E57968A7B}"/>
            </a:ext>
          </a:extLst>
        </xdr:cNvPr>
        <xdr:cNvSpPr/>
      </xdr:nvSpPr>
      <xdr:spPr>
        <a:xfrm>
          <a:off x="13278971" y="6292227"/>
          <a:ext cx="1133856" cy="442508"/>
        </a:xfrm>
        <a:prstGeom prst="roundRect">
          <a:avLst>
            <a:gd name="adj" fmla="val 0"/>
          </a:avLst>
        </a:prstGeom>
        <a:solidFill>
          <a:schemeClr val="bg2">
            <a:lumMod val="25000"/>
            <a:alpha val="75000"/>
          </a:schemeClr>
        </a:solidFill>
        <a:ln w="63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solidFill>
                <a:schemeClr val="bg1"/>
              </a:solidFill>
            </a:rPr>
            <a:t>Environmental Cost</a:t>
          </a:r>
          <a:endParaRPr lang="en-US" sz="600" b="1">
            <a:solidFill>
              <a:schemeClr val="bg1"/>
            </a:solidFill>
          </a:endParaRPr>
        </a:p>
      </xdr:txBody>
    </xdr:sp>
    <xdr:clientData/>
  </xdr:twoCellAnchor>
  <xdr:twoCellAnchor>
    <xdr:from>
      <xdr:col>6</xdr:col>
      <xdr:colOff>2566161</xdr:colOff>
      <xdr:row>25</xdr:row>
      <xdr:rowOff>192741</xdr:rowOff>
    </xdr:from>
    <xdr:to>
      <xdr:col>7</xdr:col>
      <xdr:colOff>425823</xdr:colOff>
      <xdr:row>28</xdr:row>
      <xdr:rowOff>11205</xdr:rowOff>
    </xdr:to>
    <xdr:sp macro="" textlink="">
      <xdr:nvSpPr>
        <xdr:cNvPr id="74" name="Rectangle: Rounded Corners 73">
          <a:hlinkClick xmlns:r="http://schemas.openxmlformats.org/officeDocument/2006/relationships" r:id="rId16"/>
          <a:extLst>
            <a:ext uri="{FF2B5EF4-FFF2-40B4-BE49-F238E27FC236}">
              <a16:creationId xmlns:a16="http://schemas.microsoft.com/office/drawing/2014/main" id="{C94C10B2-61C5-4F0E-8E58-CA921646639A}"/>
            </a:ext>
          </a:extLst>
        </xdr:cNvPr>
        <xdr:cNvSpPr/>
      </xdr:nvSpPr>
      <xdr:spPr>
        <a:xfrm>
          <a:off x="13278985" y="5750859"/>
          <a:ext cx="1131779" cy="457199"/>
        </a:xfrm>
        <a:prstGeom prst="roundRect">
          <a:avLst>
            <a:gd name="adj" fmla="val 0"/>
          </a:avLst>
        </a:prstGeom>
        <a:solidFill>
          <a:schemeClr val="bg2">
            <a:lumMod val="25000"/>
            <a:alpha val="75000"/>
          </a:schemeClr>
        </a:solidFill>
        <a:ln w="63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0">
              <a:solidFill>
                <a:schemeClr val="bg1"/>
              </a:solidFill>
            </a:rPr>
            <a:t>Environmental-Grievance</a:t>
          </a:r>
          <a:endParaRPr lang="en-US" sz="600" b="0">
            <a:solidFill>
              <a:schemeClr val="bg1"/>
            </a:solidFill>
          </a:endParaRPr>
        </a:p>
      </xdr:txBody>
    </xdr:sp>
    <xdr:clientData/>
  </xdr:twoCellAnchor>
  <xdr:twoCellAnchor>
    <xdr:from>
      <xdr:col>6</xdr:col>
      <xdr:colOff>1595467</xdr:colOff>
      <xdr:row>28</xdr:row>
      <xdr:rowOff>62419</xdr:rowOff>
    </xdr:from>
    <xdr:to>
      <xdr:col>6</xdr:col>
      <xdr:colOff>2418427</xdr:colOff>
      <xdr:row>29</xdr:row>
      <xdr:rowOff>32387</xdr:rowOff>
    </xdr:to>
    <xdr:sp macro="" textlink="">
      <xdr:nvSpPr>
        <xdr:cNvPr id="75" name="Rectangle: Rounded Corners 74">
          <a:hlinkClick xmlns:r="http://schemas.openxmlformats.org/officeDocument/2006/relationships" r:id="rId17"/>
          <a:extLst>
            <a:ext uri="{FF2B5EF4-FFF2-40B4-BE49-F238E27FC236}">
              <a16:creationId xmlns:a16="http://schemas.microsoft.com/office/drawing/2014/main" id="{93604BEC-9F01-4CCD-A617-C9EDC8657074}"/>
            </a:ext>
          </a:extLst>
        </xdr:cNvPr>
        <xdr:cNvSpPr/>
      </xdr:nvSpPr>
      <xdr:spPr>
        <a:xfrm>
          <a:off x="12409143" y="6259272"/>
          <a:ext cx="822960" cy="182880"/>
        </a:xfrm>
        <a:prstGeom prst="roundRect">
          <a:avLst>
            <a:gd name="adj" fmla="val 0"/>
          </a:avLst>
        </a:prstGeom>
        <a:solidFill>
          <a:schemeClr val="bg2">
            <a:lumMod val="25000"/>
            <a:alpha val="75000"/>
          </a:schemeClr>
        </a:solidFill>
        <a:ln w="63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solidFill>
                <a:schemeClr val="bg1"/>
              </a:solidFill>
            </a:rPr>
            <a:t>Impacts</a:t>
          </a:r>
          <a:endParaRPr lang="en-US" sz="600" b="1">
            <a:solidFill>
              <a:schemeClr val="bg1"/>
            </a:solidFill>
          </a:endParaRPr>
        </a:p>
      </xdr:txBody>
    </xdr:sp>
    <xdr:clientData/>
  </xdr:twoCellAnchor>
  <xdr:twoCellAnchor>
    <xdr:from>
      <xdr:col>5</xdr:col>
      <xdr:colOff>5289177</xdr:colOff>
      <xdr:row>25</xdr:row>
      <xdr:rowOff>123264</xdr:rowOff>
    </xdr:from>
    <xdr:to>
      <xdr:col>7</xdr:col>
      <xdr:colOff>515484</xdr:colOff>
      <xdr:row>31</xdr:row>
      <xdr:rowOff>450</xdr:rowOff>
    </xdr:to>
    <xdr:sp macro="" textlink="">
      <xdr:nvSpPr>
        <xdr:cNvPr id="97" name="Rectangle 96">
          <a:extLst>
            <a:ext uri="{FF2B5EF4-FFF2-40B4-BE49-F238E27FC236}">
              <a16:creationId xmlns:a16="http://schemas.microsoft.com/office/drawing/2014/main" id="{5288B479-3472-7496-6BAA-0C38A8502439}"/>
            </a:ext>
          </a:extLst>
        </xdr:cNvPr>
        <xdr:cNvSpPr/>
      </xdr:nvSpPr>
      <xdr:spPr>
        <a:xfrm>
          <a:off x="10690412" y="5681382"/>
          <a:ext cx="3910866" cy="1154656"/>
        </a:xfrm>
        <a:prstGeom prst="rect">
          <a:avLst/>
        </a:prstGeom>
        <a:noFill/>
        <a:ln w="63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123265</xdr:colOff>
      <xdr:row>0</xdr:row>
      <xdr:rowOff>190498</xdr:rowOff>
    </xdr:from>
    <xdr:to>
      <xdr:col>2</xdr:col>
      <xdr:colOff>618566</xdr:colOff>
      <xdr:row>3</xdr:row>
      <xdr:rowOff>224118</xdr:rowOff>
    </xdr:to>
    <xdr:pic>
      <xdr:nvPicPr>
        <xdr:cNvPr id="98" name="Picture 97">
          <a:extLst>
            <a:ext uri="{FF2B5EF4-FFF2-40B4-BE49-F238E27FC236}">
              <a16:creationId xmlns:a16="http://schemas.microsoft.com/office/drawing/2014/main" id="{807EBD08-BD3F-4598-6598-D3896C507CC5}"/>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7497" t="29874" r="68569" b="30079"/>
        <a:stretch/>
      </xdr:blipFill>
      <xdr:spPr>
        <a:xfrm>
          <a:off x="123265" y="190498"/>
          <a:ext cx="887507" cy="862855"/>
        </a:xfrm>
        <a:prstGeom prst="rect">
          <a:avLst/>
        </a:prstGeom>
      </xdr:spPr>
    </xdr:pic>
    <xdr:clientData/>
  </xdr:twoCellAnchor>
  <xdr:twoCellAnchor>
    <xdr:from>
      <xdr:col>6</xdr:col>
      <xdr:colOff>516774</xdr:colOff>
      <xdr:row>24</xdr:row>
      <xdr:rowOff>44822</xdr:rowOff>
    </xdr:from>
    <xdr:to>
      <xdr:col>6</xdr:col>
      <xdr:colOff>3147565</xdr:colOff>
      <xdr:row>25</xdr:row>
      <xdr:rowOff>123263</xdr:rowOff>
    </xdr:to>
    <xdr:sp macro="" textlink="">
      <xdr:nvSpPr>
        <xdr:cNvPr id="106" name="Rectangle: Rounded Corners 105">
          <a:hlinkClick xmlns:r="http://schemas.openxmlformats.org/officeDocument/2006/relationships" r:id="rId19"/>
          <a:extLst>
            <a:ext uri="{FF2B5EF4-FFF2-40B4-BE49-F238E27FC236}">
              <a16:creationId xmlns:a16="http://schemas.microsoft.com/office/drawing/2014/main" id="{0B0F3065-32FC-451E-B262-81E45B43521A}"/>
            </a:ext>
          </a:extLst>
        </xdr:cNvPr>
        <xdr:cNvSpPr/>
      </xdr:nvSpPr>
      <xdr:spPr>
        <a:xfrm>
          <a:off x="11330450" y="5390028"/>
          <a:ext cx="2630791" cy="291353"/>
        </a:xfrm>
        <a:prstGeom prst="roundRect">
          <a:avLst>
            <a:gd name="adj" fmla="val 15880"/>
          </a:avLst>
        </a:prstGeom>
        <a:solidFill>
          <a:schemeClr val="bg2">
            <a:lumMod val="25000"/>
          </a:schemeClr>
        </a:solidFill>
        <a:ln w="63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solidFill>
                <a:schemeClr val="bg1"/>
              </a:solidFill>
            </a:rPr>
            <a:t>Sustainability</a:t>
          </a:r>
          <a:r>
            <a:rPr lang="en-US" sz="1000" b="1" baseline="0">
              <a:solidFill>
                <a:schemeClr val="bg1"/>
              </a:solidFill>
            </a:rPr>
            <a:t> Performance Data Summary</a:t>
          </a:r>
          <a:endParaRPr lang="en-US" sz="600" b="1">
            <a:solidFill>
              <a:schemeClr val="bg1"/>
            </a:solidFill>
          </a:endParaRPr>
        </a:p>
      </xdr:txBody>
    </xdr:sp>
    <xdr:clientData/>
  </xdr:twoCellAnchor>
  <xdr:twoCellAnchor editAs="oneCell">
    <xdr:from>
      <xdr:col>5</xdr:col>
      <xdr:colOff>4280644</xdr:colOff>
      <xdr:row>2</xdr:row>
      <xdr:rowOff>10414</xdr:rowOff>
    </xdr:from>
    <xdr:to>
      <xdr:col>5</xdr:col>
      <xdr:colOff>4661612</xdr:colOff>
      <xdr:row>3</xdr:row>
      <xdr:rowOff>1</xdr:rowOff>
    </xdr:to>
    <xdr:pic>
      <xdr:nvPicPr>
        <xdr:cNvPr id="121" name="Picture 120">
          <a:extLst>
            <a:ext uri="{FF2B5EF4-FFF2-40B4-BE49-F238E27FC236}">
              <a16:creationId xmlns:a16="http://schemas.microsoft.com/office/drawing/2014/main" id="{08948DEF-75F5-C7E6-E3A2-6EC87E00C0DA}"/>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681879" y="436238"/>
          <a:ext cx="380968" cy="392998"/>
        </a:xfrm>
        <a:prstGeom prst="rect">
          <a:avLst/>
        </a:prstGeom>
      </xdr:spPr>
    </xdr:pic>
    <xdr:clientData/>
  </xdr:twoCellAnchor>
  <xdr:twoCellAnchor editAs="oneCell">
    <xdr:from>
      <xdr:col>5</xdr:col>
      <xdr:colOff>4728877</xdr:colOff>
      <xdr:row>1</xdr:row>
      <xdr:rowOff>201707</xdr:rowOff>
    </xdr:from>
    <xdr:to>
      <xdr:col>5</xdr:col>
      <xdr:colOff>5121082</xdr:colOff>
      <xdr:row>3</xdr:row>
      <xdr:rowOff>10120</xdr:rowOff>
    </xdr:to>
    <xdr:pic>
      <xdr:nvPicPr>
        <xdr:cNvPr id="125" name="Picture 124">
          <a:extLst>
            <a:ext uri="{FF2B5EF4-FFF2-40B4-BE49-F238E27FC236}">
              <a16:creationId xmlns:a16="http://schemas.microsoft.com/office/drawing/2014/main" id="{D72B0A4D-19E4-AFFE-0AAA-31F9723BA3E5}"/>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17358" r="10923"/>
        <a:stretch/>
      </xdr:blipFill>
      <xdr:spPr>
        <a:xfrm>
          <a:off x="10130112" y="414619"/>
          <a:ext cx="392205" cy="424736"/>
        </a:xfrm>
        <a:prstGeom prst="rect">
          <a:avLst/>
        </a:prstGeom>
      </xdr:spPr>
    </xdr:pic>
    <xdr:clientData/>
  </xdr:twoCellAnchor>
  <xdr:twoCellAnchor>
    <xdr:from>
      <xdr:col>6</xdr:col>
      <xdr:colOff>1441079</xdr:colOff>
      <xdr:row>1</xdr:row>
      <xdr:rowOff>165844</xdr:rowOff>
    </xdr:from>
    <xdr:to>
      <xdr:col>7</xdr:col>
      <xdr:colOff>533400</xdr:colOff>
      <xdr:row>3</xdr:row>
      <xdr:rowOff>132225</xdr:rowOff>
    </xdr:to>
    <xdr:grpSp>
      <xdr:nvGrpSpPr>
        <xdr:cNvPr id="145" name="Group 144">
          <a:hlinkClick xmlns:r="http://schemas.openxmlformats.org/officeDocument/2006/relationships" r:id="rId22"/>
          <a:extLst>
            <a:ext uri="{FF2B5EF4-FFF2-40B4-BE49-F238E27FC236}">
              <a16:creationId xmlns:a16="http://schemas.microsoft.com/office/drawing/2014/main" id="{F2BB71AB-D63E-738A-4D93-E3C826E83A50}"/>
            </a:ext>
          </a:extLst>
        </xdr:cNvPr>
        <xdr:cNvGrpSpPr/>
      </xdr:nvGrpSpPr>
      <xdr:grpSpPr>
        <a:xfrm>
          <a:off x="12241601" y="372909"/>
          <a:ext cx="2372234" cy="571012"/>
          <a:chOff x="4108078" y="1416421"/>
          <a:chExt cx="2364439" cy="582704"/>
        </a:xfrm>
      </xdr:grpSpPr>
      <xdr:grpSp>
        <xdr:nvGrpSpPr>
          <xdr:cNvPr id="138" name="Group 137">
            <a:extLst>
              <a:ext uri="{FF2B5EF4-FFF2-40B4-BE49-F238E27FC236}">
                <a16:creationId xmlns:a16="http://schemas.microsoft.com/office/drawing/2014/main" id="{39152AFC-F2AE-66E4-90CB-5C86BA16FDEF}"/>
              </a:ext>
            </a:extLst>
          </xdr:cNvPr>
          <xdr:cNvGrpSpPr/>
        </xdr:nvGrpSpPr>
        <xdr:grpSpPr>
          <a:xfrm flipH="1">
            <a:off x="4108078" y="1416421"/>
            <a:ext cx="2364439" cy="582704"/>
            <a:chOff x="616326" y="918880"/>
            <a:chExt cx="2364439" cy="582705"/>
          </a:xfrm>
        </xdr:grpSpPr>
        <xdr:sp macro="" textlink="">
          <xdr:nvSpPr>
            <xdr:cNvPr id="140" name="Rectangle: Rounded Corners 139">
              <a:extLst>
                <a:ext uri="{FF2B5EF4-FFF2-40B4-BE49-F238E27FC236}">
                  <a16:creationId xmlns:a16="http://schemas.microsoft.com/office/drawing/2014/main" id="{DF32C80F-BD3D-FC31-263E-244448C0A293}"/>
                </a:ext>
              </a:extLst>
            </xdr:cNvPr>
            <xdr:cNvSpPr/>
          </xdr:nvSpPr>
          <xdr:spPr>
            <a:xfrm>
              <a:off x="616326" y="918880"/>
              <a:ext cx="2364439" cy="582705"/>
            </a:xfrm>
            <a:prstGeom prst="roundRect">
              <a:avLst>
                <a:gd name="adj" fmla="val 50000"/>
              </a:avLst>
            </a:prstGeom>
            <a:solidFill>
              <a:srgbClr val="C0000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b="1">
                <a:solidFill>
                  <a:schemeClr val="tx1"/>
                </a:solidFill>
              </a:endParaRPr>
            </a:p>
          </xdr:txBody>
        </xdr:sp>
        <xdr:grpSp>
          <xdr:nvGrpSpPr>
            <xdr:cNvPr id="141" name="Group 140">
              <a:extLst>
                <a:ext uri="{FF2B5EF4-FFF2-40B4-BE49-F238E27FC236}">
                  <a16:creationId xmlns:a16="http://schemas.microsoft.com/office/drawing/2014/main" id="{5A666494-6245-7028-3D3A-03F58F2D8BE8}"/>
                </a:ext>
              </a:extLst>
            </xdr:cNvPr>
            <xdr:cNvGrpSpPr/>
          </xdr:nvGrpSpPr>
          <xdr:grpSpPr>
            <a:xfrm>
              <a:off x="661146" y="952498"/>
              <a:ext cx="2207560" cy="515471"/>
              <a:chOff x="3216087" y="2386853"/>
              <a:chExt cx="2207560" cy="515471"/>
            </a:xfrm>
          </xdr:grpSpPr>
          <xdr:sp macro="" textlink="">
            <xdr:nvSpPr>
              <xdr:cNvPr id="142" name="Rectangle: Rounded Corners 141">
                <a:extLst>
                  <a:ext uri="{FF2B5EF4-FFF2-40B4-BE49-F238E27FC236}">
                    <a16:creationId xmlns:a16="http://schemas.microsoft.com/office/drawing/2014/main" id="{940427D6-B1F8-6295-ECAC-811C6D80519B}"/>
                  </a:ext>
                </a:extLst>
              </xdr:cNvPr>
              <xdr:cNvSpPr/>
            </xdr:nvSpPr>
            <xdr:spPr>
              <a:xfrm>
                <a:off x="3477188" y="2442882"/>
                <a:ext cx="1946459" cy="403412"/>
              </a:xfrm>
              <a:prstGeom prst="roundRect">
                <a:avLst>
                  <a:gd name="adj" fmla="val 50000"/>
                </a:avLst>
              </a:prstGeom>
              <a:solidFill>
                <a:srgbClr val="FDF3ED"/>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en-US" sz="1400" b="1">
                    <a:solidFill>
                      <a:srgbClr val="C00000"/>
                    </a:solidFill>
                    <a:effectLst/>
                    <a:latin typeface="+mn-lt"/>
                    <a:ea typeface="+mn-ea"/>
                    <a:cs typeface="+mn-cs"/>
                  </a:rPr>
                  <a:t>Graphical Dashboard</a:t>
                </a:r>
              </a:p>
            </xdr:txBody>
          </xdr:sp>
          <xdr:sp macro="" textlink="">
            <xdr:nvSpPr>
              <xdr:cNvPr id="143" name="Oval 142">
                <a:extLst>
                  <a:ext uri="{FF2B5EF4-FFF2-40B4-BE49-F238E27FC236}">
                    <a16:creationId xmlns:a16="http://schemas.microsoft.com/office/drawing/2014/main" id="{EEB37784-92EC-370A-C3D1-A1A0EDB713A6}"/>
                  </a:ext>
                </a:extLst>
              </xdr:cNvPr>
              <xdr:cNvSpPr/>
            </xdr:nvSpPr>
            <xdr:spPr>
              <a:xfrm>
                <a:off x="3216087" y="2386853"/>
                <a:ext cx="515471" cy="515471"/>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grpSp>
      <xdr:pic>
        <xdr:nvPicPr>
          <xdr:cNvPr id="144" name="Graphic 143" descr="Pandemic exponential curve bar graph with solid fill">
            <a:extLst>
              <a:ext uri="{FF2B5EF4-FFF2-40B4-BE49-F238E27FC236}">
                <a16:creationId xmlns:a16="http://schemas.microsoft.com/office/drawing/2014/main" id="{5AAF0334-B18E-4998-ACED-91EF7083B96B}"/>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5972735" y="1479176"/>
            <a:ext cx="437029" cy="437029"/>
          </a:xfrm>
          <a:prstGeom prst="rect">
            <a:avLst/>
          </a:prstGeom>
        </xdr:spPr>
      </xdr:pic>
    </xdr:grpSp>
    <xdr:clientData/>
  </xdr:twoCellAnchor>
  <xdr:twoCellAnchor>
    <xdr:from>
      <xdr:col>3</xdr:col>
      <xdr:colOff>56030</xdr:colOff>
      <xdr:row>28</xdr:row>
      <xdr:rowOff>89647</xdr:rowOff>
    </xdr:from>
    <xdr:to>
      <xdr:col>3</xdr:col>
      <xdr:colOff>1143001</xdr:colOff>
      <xdr:row>30</xdr:row>
      <xdr:rowOff>190499</xdr:rowOff>
    </xdr:to>
    <xdr:sp macro="" textlink="">
      <xdr:nvSpPr>
        <xdr:cNvPr id="3" name="Rectangle: Rounded Corners 2">
          <a:hlinkClick xmlns:r="http://schemas.openxmlformats.org/officeDocument/2006/relationships" r:id="rId25"/>
          <a:extLst>
            <a:ext uri="{FF2B5EF4-FFF2-40B4-BE49-F238E27FC236}">
              <a16:creationId xmlns:a16="http://schemas.microsoft.com/office/drawing/2014/main" id="{BAA7A60C-0957-1F6D-9A63-3A1C58EE3033}"/>
            </a:ext>
          </a:extLst>
        </xdr:cNvPr>
        <xdr:cNvSpPr/>
      </xdr:nvSpPr>
      <xdr:spPr>
        <a:xfrm>
          <a:off x="1736912" y="6286500"/>
          <a:ext cx="1086971" cy="526675"/>
        </a:xfrm>
        <a:prstGeom prst="roundRect">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rPr>
            <a:t>Sustainability</a:t>
          </a:r>
          <a:r>
            <a:rPr lang="en-US" sz="1100" b="1" baseline="0">
              <a:solidFill>
                <a:sysClr val="windowText" lastClr="000000"/>
              </a:solidFill>
            </a:rPr>
            <a:t> Projects</a:t>
          </a:r>
          <a:endParaRPr lang="en-US" sz="1100" b="1">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295275</xdr:colOff>
      <xdr:row>36</xdr:row>
      <xdr:rowOff>123825</xdr:rowOff>
    </xdr:from>
    <xdr:to>
      <xdr:col>4</xdr:col>
      <xdr:colOff>51435</xdr:colOff>
      <xdr:row>38</xdr:row>
      <xdr:rowOff>19051</xdr:rowOff>
    </xdr:to>
    <xdr:sp macro="" textlink="RRR!H14">
      <xdr:nvSpPr>
        <xdr:cNvPr id="38" name="Rectangle: Folded Corner 37">
          <a:extLst>
            <a:ext uri="{FF2B5EF4-FFF2-40B4-BE49-F238E27FC236}">
              <a16:creationId xmlns:a16="http://schemas.microsoft.com/office/drawing/2014/main" id="{4C880CBE-9746-4107-B1D3-C8557675ECEA}"/>
            </a:ext>
          </a:extLst>
        </xdr:cNvPr>
        <xdr:cNvSpPr/>
      </xdr:nvSpPr>
      <xdr:spPr>
        <a:xfrm>
          <a:off x="295275" y="6981825"/>
          <a:ext cx="2194560" cy="276226"/>
        </a:xfrm>
        <a:prstGeom prst="foldedCorner">
          <a:avLst>
            <a:gd name="adj" fmla="val 26667"/>
          </a:avLst>
        </a:prstGeom>
        <a:solidFill>
          <a:schemeClr val="accent5">
            <a:lumMod val="5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90D48782-B352-40F1-BDA1-3FC09D77CD89}" type="TxLink">
            <a:rPr lang="en-US" sz="1100" b="0" i="0" u="none" strike="noStrike">
              <a:solidFill>
                <a:schemeClr val="bg1"/>
              </a:solidFill>
              <a:latin typeface="Calibri"/>
              <a:cs typeface="Calibri"/>
            </a:rPr>
            <a:pPr algn="l"/>
            <a:t>YTG Budget</a:t>
          </a:fld>
          <a:endParaRPr lang="en-US" sz="1100">
            <a:solidFill>
              <a:schemeClr val="bg1"/>
            </a:solidFill>
          </a:endParaRPr>
        </a:p>
      </xdr:txBody>
    </xdr:sp>
    <xdr:clientData/>
  </xdr:twoCellAnchor>
  <xdr:twoCellAnchor>
    <xdr:from>
      <xdr:col>2</xdr:col>
      <xdr:colOff>133351</xdr:colOff>
      <xdr:row>36</xdr:row>
      <xdr:rowOff>133350</xdr:rowOff>
    </xdr:from>
    <xdr:to>
      <xdr:col>3</xdr:col>
      <xdr:colOff>514351</xdr:colOff>
      <xdr:row>38</xdr:row>
      <xdr:rowOff>26670</xdr:rowOff>
    </xdr:to>
    <xdr:sp macro="" textlink="">
      <xdr:nvSpPr>
        <xdr:cNvPr id="48" name="Rectangle 47">
          <a:extLst>
            <a:ext uri="{FF2B5EF4-FFF2-40B4-BE49-F238E27FC236}">
              <a16:creationId xmlns:a16="http://schemas.microsoft.com/office/drawing/2014/main" id="{CAF6704D-B54D-4A21-BA4D-3FE35DEF3E9F}"/>
            </a:ext>
          </a:extLst>
        </xdr:cNvPr>
        <xdr:cNvSpPr/>
      </xdr:nvSpPr>
      <xdr:spPr>
        <a:xfrm>
          <a:off x="1352551" y="6991350"/>
          <a:ext cx="990600" cy="274320"/>
        </a:xfrm>
        <a:prstGeom prst="rect">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editAs="oneCell">
    <xdr:from>
      <xdr:col>0</xdr:col>
      <xdr:colOff>1</xdr:colOff>
      <xdr:row>0</xdr:row>
      <xdr:rowOff>1</xdr:rowOff>
    </xdr:from>
    <xdr:to>
      <xdr:col>20</xdr:col>
      <xdr:colOff>361951</xdr:colOff>
      <xdr:row>14</xdr:row>
      <xdr:rowOff>57150</xdr:rowOff>
    </xdr:to>
    <xdr:pic>
      <xdr:nvPicPr>
        <xdr:cNvPr id="2" name="Picture 1">
          <a:extLst>
            <a:ext uri="{FF2B5EF4-FFF2-40B4-BE49-F238E27FC236}">
              <a16:creationId xmlns:a16="http://schemas.microsoft.com/office/drawing/2014/main" id="{A3335541-243E-4D19-BC68-7941932BEDD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1"/>
          <a:ext cx="12553950" cy="2724149"/>
        </a:xfrm>
        <a:prstGeom prst="rect">
          <a:avLst/>
        </a:prstGeom>
      </xdr:spPr>
    </xdr:pic>
    <xdr:clientData/>
  </xdr:twoCellAnchor>
  <xdr:twoCellAnchor>
    <xdr:from>
      <xdr:col>0</xdr:col>
      <xdr:colOff>0</xdr:colOff>
      <xdr:row>2</xdr:row>
      <xdr:rowOff>142875</xdr:rowOff>
    </xdr:from>
    <xdr:to>
      <xdr:col>20</xdr:col>
      <xdr:colOff>371475</xdr:colOff>
      <xdr:row>30</xdr:row>
      <xdr:rowOff>114300</xdr:rowOff>
    </xdr:to>
    <xdr:sp macro="" textlink="">
      <xdr:nvSpPr>
        <xdr:cNvPr id="20" name="Rectangle 19">
          <a:extLst>
            <a:ext uri="{FF2B5EF4-FFF2-40B4-BE49-F238E27FC236}">
              <a16:creationId xmlns:a16="http://schemas.microsoft.com/office/drawing/2014/main" id="{5209AEC2-7264-83C0-6D98-255FEDD41E88}"/>
            </a:ext>
          </a:extLst>
        </xdr:cNvPr>
        <xdr:cNvSpPr/>
      </xdr:nvSpPr>
      <xdr:spPr>
        <a:xfrm>
          <a:off x="0" y="523875"/>
          <a:ext cx="12563475" cy="530542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38100</xdr:colOff>
      <xdr:row>3</xdr:row>
      <xdr:rowOff>85725</xdr:rowOff>
    </xdr:from>
    <xdr:to>
      <xdr:col>7</xdr:col>
      <xdr:colOff>66675</xdr:colOff>
      <xdr:row>30</xdr:row>
      <xdr:rowOff>47625</xdr:rowOff>
    </xdr:to>
    <xdr:sp macro="" textlink="">
      <xdr:nvSpPr>
        <xdr:cNvPr id="19" name="Rectangle 18">
          <a:extLst>
            <a:ext uri="{FF2B5EF4-FFF2-40B4-BE49-F238E27FC236}">
              <a16:creationId xmlns:a16="http://schemas.microsoft.com/office/drawing/2014/main" id="{A9C76801-E19E-C9A9-996C-81EDE3E4C9B9}"/>
            </a:ext>
          </a:extLst>
        </xdr:cNvPr>
        <xdr:cNvSpPr/>
      </xdr:nvSpPr>
      <xdr:spPr>
        <a:xfrm>
          <a:off x="38100" y="657225"/>
          <a:ext cx="4295775" cy="5105400"/>
        </a:xfrm>
        <a:prstGeom prst="rect">
          <a:avLst/>
        </a:prstGeom>
        <a:solidFill>
          <a:schemeClr val="bg1"/>
        </a:solidFill>
        <a:ln>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476250</xdr:colOff>
      <xdr:row>0</xdr:row>
      <xdr:rowOff>0</xdr:rowOff>
    </xdr:from>
    <xdr:to>
      <xdr:col>13</xdr:col>
      <xdr:colOff>542925</xdr:colOff>
      <xdr:row>1</xdr:row>
      <xdr:rowOff>161925</xdr:rowOff>
    </xdr:to>
    <xdr:sp macro="" textlink="">
      <xdr:nvSpPr>
        <xdr:cNvPr id="3" name="TextBox 2">
          <a:extLst>
            <a:ext uri="{FF2B5EF4-FFF2-40B4-BE49-F238E27FC236}">
              <a16:creationId xmlns:a16="http://schemas.microsoft.com/office/drawing/2014/main" id="{F45F707B-B7C7-4E70-9C4A-31C560060EE9}"/>
            </a:ext>
          </a:extLst>
        </xdr:cNvPr>
        <xdr:cNvSpPr txBox="1"/>
      </xdr:nvSpPr>
      <xdr:spPr>
        <a:xfrm>
          <a:off x="4133850" y="0"/>
          <a:ext cx="433387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cap="none" spc="0">
              <a:ln w="13462">
                <a:solidFill>
                  <a:schemeClr val="bg1"/>
                </a:solidFill>
                <a:prstDash val="solid"/>
              </a:ln>
              <a:solidFill>
                <a:srgbClr val="002060"/>
              </a:solidFill>
              <a:effectLst>
                <a:outerShdw dist="38100" dir="2700000" algn="bl" rotWithShape="0">
                  <a:schemeClr val="accent5"/>
                </a:outerShdw>
              </a:effectLst>
            </a:rPr>
            <a:t>Sustainability DashBoard</a:t>
          </a:r>
        </a:p>
      </xdr:txBody>
    </xdr:sp>
    <xdr:clientData/>
  </xdr:twoCellAnchor>
  <xdr:twoCellAnchor>
    <xdr:from>
      <xdr:col>0</xdr:col>
      <xdr:colOff>113182</xdr:colOff>
      <xdr:row>6</xdr:row>
      <xdr:rowOff>189380</xdr:rowOff>
    </xdr:from>
    <xdr:to>
      <xdr:col>7</xdr:col>
      <xdr:colOff>19050</xdr:colOff>
      <xdr:row>16</xdr:row>
      <xdr:rowOff>88527</xdr:rowOff>
    </xdr:to>
    <xdr:sp macro="" textlink="">
      <xdr:nvSpPr>
        <xdr:cNvPr id="7" name="Rectangle: Rounded Corners 6">
          <a:extLst>
            <a:ext uri="{FF2B5EF4-FFF2-40B4-BE49-F238E27FC236}">
              <a16:creationId xmlns:a16="http://schemas.microsoft.com/office/drawing/2014/main" id="{5784E9EB-4909-4130-BEBF-535277D99806}"/>
            </a:ext>
          </a:extLst>
        </xdr:cNvPr>
        <xdr:cNvSpPr/>
      </xdr:nvSpPr>
      <xdr:spPr>
        <a:xfrm>
          <a:off x="113182" y="1332380"/>
          <a:ext cx="4173068" cy="1804147"/>
        </a:xfrm>
        <a:prstGeom prst="roundRect">
          <a:avLst>
            <a:gd name="adj" fmla="val 6090"/>
          </a:avLst>
        </a:prstGeom>
        <a:solidFill>
          <a:schemeClr val="accent5">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114852</xdr:colOff>
      <xdr:row>8</xdr:row>
      <xdr:rowOff>31377</xdr:rowOff>
    </xdr:from>
    <xdr:to>
      <xdr:col>3</xdr:col>
      <xdr:colOff>34171</xdr:colOff>
      <xdr:row>9</xdr:row>
      <xdr:rowOff>132231</xdr:rowOff>
    </xdr:to>
    <xdr:sp macro="" textlink="">
      <xdr:nvSpPr>
        <xdr:cNvPr id="8" name="TextBox 7">
          <a:extLst>
            <a:ext uri="{FF2B5EF4-FFF2-40B4-BE49-F238E27FC236}">
              <a16:creationId xmlns:a16="http://schemas.microsoft.com/office/drawing/2014/main" id="{B76ABBC5-50E5-40FB-9C80-35792F9F9FAB}"/>
            </a:ext>
          </a:extLst>
        </xdr:cNvPr>
        <xdr:cNvSpPr txBox="1"/>
      </xdr:nvSpPr>
      <xdr:spPr>
        <a:xfrm>
          <a:off x="114852" y="1555377"/>
          <a:ext cx="1748119" cy="29135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2">
                  <a:lumMod val="50000"/>
                </a:schemeClr>
              </a:solidFill>
            </a:rPr>
            <a:t>Gender Diversity (No)</a:t>
          </a:r>
        </a:p>
      </xdr:txBody>
    </xdr:sp>
    <xdr:clientData/>
  </xdr:twoCellAnchor>
  <xdr:twoCellAnchor>
    <xdr:from>
      <xdr:col>0</xdr:col>
      <xdr:colOff>110378</xdr:colOff>
      <xdr:row>10</xdr:row>
      <xdr:rowOff>15688</xdr:rowOff>
    </xdr:from>
    <xdr:to>
      <xdr:col>3</xdr:col>
      <xdr:colOff>28082</xdr:colOff>
      <xdr:row>11</xdr:row>
      <xdr:rowOff>98612</xdr:rowOff>
    </xdr:to>
    <xdr:sp macro="" textlink="">
      <xdr:nvSpPr>
        <xdr:cNvPr id="9" name="TextBox 8">
          <a:extLst>
            <a:ext uri="{FF2B5EF4-FFF2-40B4-BE49-F238E27FC236}">
              <a16:creationId xmlns:a16="http://schemas.microsoft.com/office/drawing/2014/main" id="{E3490E57-0853-4AF0-8C7F-CF588074614B}"/>
            </a:ext>
          </a:extLst>
        </xdr:cNvPr>
        <xdr:cNvSpPr txBox="1"/>
      </xdr:nvSpPr>
      <xdr:spPr>
        <a:xfrm>
          <a:off x="110378" y="1920688"/>
          <a:ext cx="1746504" cy="2734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2">
                  <a:lumMod val="50000"/>
                </a:schemeClr>
              </a:solidFill>
            </a:rPr>
            <a:t>Women in Management</a:t>
          </a:r>
        </a:p>
      </xdr:txBody>
    </xdr:sp>
    <xdr:clientData/>
  </xdr:twoCellAnchor>
  <xdr:twoCellAnchor>
    <xdr:from>
      <xdr:col>3</xdr:col>
      <xdr:colOff>133348</xdr:colOff>
      <xdr:row>6</xdr:row>
      <xdr:rowOff>76201</xdr:rowOff>
    </xdr:from>
    <xdr:to>
      <xdr:col>4</xdr:col>
      <xdr:colOff>39219</xdr:colOff>
      <xdr:row>7</xdr:row>
      <xdr:rowOff>132230</xdr:rowOff>
    </xdr:to>
    <xdr:sp macro="" textlink="">
      <xdr:nvSpPr>
        <xdr:cNvPr id="10" name="Rectangle: Rounded Corners 9">
          <a:extLst>
            <a:ext uri="{FF2B5EF4-FFF2-40B4-BE49-F238E27FC236}">
              <a16:creationId xmlns:a16="http://schemas.microsoft.com/office/drawing/2014/main" id="{5CAED534-B8E3-4A40-9427-45386DD1B743}"/>
            </a:ext>
          </a:extLst>
        </xdr:cNvPr>
        <xdr:cNvSpPr/>
      </xdr:nvSpPr>
      <xdr:spPr>
        <a:xfrm>
          <a:off x="1962148" y="1219201"/>
          <a:ext cx="515471" cy="246529"/>
        </a:xfrm>
        <a:prstGeom prst="roundRect">
          <a:avLst/>
        </a:prstGeom>
        <a:solidFill>
          <a:srgbClr val="FFC00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2023</a:t>
          </a:r>
        </a:p>
      </xdr:txBody>
    </xdr:sp>
    <xdr:clientData/>
  </xdr:twoCellAnchor>
  <xdr:twoCellAnchor>
    <xdr:from>
      <xdr:col>4</xdr:col>
      <xdr:colOff>100104</xdr:colOff>
      <xdr:row>6</xdr:row>
      <xdr:rowOff>76201</xdr:rowOff>
    </xdr:from>
    <xdr:to>
      <xdr:col>5</xdr:col>
      <xdr:colOff>5975</xdr:colOff>
      <xdr:row>7</xdr:row>
      <xdr:rowOff>132230</xdr:rowOff>
    </xdr:to>
    <xdr:sp macro="" textlink="">
      <xdr:nvSpPr>
        <xdr:cNvPr id="11" name="Rectangle: Rounded Corners 10">
          <a:extLst>
            <a:ext uri="{FF2B5EF4-FFF2-40B4-BE49-F238E27FC236}">
              <a16:creationId xmlns:a16="http://schemas.microsoft.com/office/drawing/2014/main" id="{FFEE25A3-0733-4533-A1C4-E522DC2B0CE3}"/>
            </a:ext>
          </a:extLst>
        </xdr:cNvPr>
        <xdr:cNvSpPr/>
      </xdr:nvSpPr>
      <xdr:spPr>
        <a:xfrm>
          <a:off x="2538504" y="1219201"/>
          <a:ext cx="515471" cy="246529"/>
        </a:xfrm>
        <a:prstGeom prst="roundRect">
          <a:avLst/>
        </a:prstGeom>
        <a:solidFill>
          <a:srgbClr val="FFC00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2024</a:t>
          </a:r>
        </a:p>
      </xdr:txBody>
    </xdr:sp>
    <xdr:clientData/>
  </xdr:twoCellAnchor>
  <xdr:twoCellAnchor>
    <xdr:from>
      <xdr:col>5</xdr:col>
      <xdr:colOff>66859</xdr:colOff>
      <xdr:row>6</xdr:row>
      <xdr:rowOff>76201</xdr:rowOff>
    </xdr:from>
    <xdr:to>
      <xdr:col>5</xdr:col>
      <xdr:colOff>582330</xdr:colOff>
      <xdr:row>7</xdr:row>
      <xdr:rowOff>132230</xdr:rowOff>
    </xdr:to>
    <xdr:sp macro="" textlink="">
      <xdr:nvSpPr>
        <xdr:cNvPr id="12" name="Rectangle: Rounded Corners 11">
          <a:extLst>
            <a:ext uri="{FF2B5EF4-FFF2-40B4-BE49-F238E27FC236}">
              <a16:creationId xmlns:a16="http://schemas.microsoft.com/office/drawing/2014/main" id="{C9C892EF-F353-45AA-B89E-39093D84F61A}"/>
            </a:ext>
          </a:extLst>
        </xdr:cNvPr>
        <xdr:cNvSpPr/>
      </xdr:nvSpPr>
      <xdr:spPr>
        <a:xfrm>
          <a:off x="3114859" y="1219201"/>
          <a:ext cx="515471" cy="246529"/>
        </a:xfrm>
        <a:prstGeom prst="roundRect">
          <a:avLst/>
        </a:prstGeom>
        <a:solidFill>
          <a:srgbClr val="FFC00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2025</a:t>
          </a:r>
        </a:p>
      </xdr:txBody>
    </xdr:sp>
    <xdr:clientData/>
  </xdr:twoCellAnchor>
  <xdr:twoCellAnchor>
    <xdr:from>
      <xdr:col>6</xdr:col>
      <xdr:colOff>43140</xdr:colOff>
      <xdr:row>6</xdr:row>
      <xdr:rowOff>76201</xdr:rowOff>
    </xdr:from>
    <xdr:to>
      <xdr:col>6</xdr:col>
      <xdr:colOff>558611</xdr:colOff>
      <xdr:row>7</xdr:row>
      <xdr:rowOff>132230</xdr:rowOff>
    </xdr:to>
    <xdr:sp macro="" textlink="">
      <xdr:nvSpPr>
        <xdr:cNvPr id="13" name="Rectangle: Rounded Corners 12">
          <a:extLst>
            <a:ext uri="{FF2B5EF4-FFF2-40B4-BE49-F238E27FC236}">
              <a16:creationId xmlns:a16="http://schemas.microsoft.com/office/drawing/2014/main" id="{14E70B7D-5826-4DCF-9912-BEDDFCE6237E}"/>
            </a:ext>
          </a:extLst>
        </xdr:cNvPr>
        <xdr:cNvSpPr/>
      </xdr:nvSpPr>
      <xdr:spPr>
        <a:xfrm>
          <a:off x="3700740" y="1219201"/>
          <a:ext cx="515471" cy="246529"/>
        </a:xfrm>
        <a:prstGeom prst="roundRect">
          <a:avLst/>
        </a:prstGeom>
        <a:solidFill>
          <a:srgbClr val="FFC00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2025</a:t>
          </a:r>
        </a:p>
      </xdr:txBody>
    </xdr:sp>
    <xdr:clientData/>
  </xdr:twoCellAnchor>
  <xdr:twoCellAnchor>
    <xdr:from>
      <xdr:col>0</xdr:col>
      <xdr:colOff>117102</xdr:colOff>
      <xdr:row>11</xdr:row>
      <xdr:rowOff>168088</xdr:rowOff>
    </xdr:from>
    <xdr:to>
      <xdr:col>3</xdr:col>
      <xdr:colOff>34806</xdr:colOff>
      <xdr:row>13</xdr:row>
      <xdr:rowOff>60512</xdr:rowOff>
    </xdr:to>
    <xdr:sp macro="" textlink="">
      <xdr:nvSpPr>
        <xdr:cNvPr id="14" name="TextBox 13">
          <a:extLst>
            <a:ext uri="{FF2B5EF4-FFF2-40B4-BE49-F238E27FC236}">
              <a16:creationId xmlns:a16="http://schemas.microsoft.com/office/drawing/2014/main" id="{9934BB2B-B3F0-4B2B-A104-0E8EBAC8F1B5}"/>
            </a:ext>
          </a:extLst>
        </xdr:cNvPr>
        <xdr:cNvSpPr txBox="1"/>
      </xdr:nvSpPr>
      <xdr:spPr>
        <a:xfrm>
          <a:off x="117102" y="2263588"/>
          <a:ext cx="1746504" cy="2734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2">
                  <a:lumMod val="50000"/>
                </a:schemeClr>
              </a:solidFill>
            </a:rPr>
            <a:t>Total Incident</a:t>
          </a:r>
        </a:p>
      </xdr:txBody>
    </xdr:sp>
    <xdr:clientData/>
  </xdr:twoCellAnchor>
  <xdr:twoCellAnchor>
    <xdr:from>
      <xdr:col>0</xdr:col>
      <xdr:colOff>112620</xdr:colOff>
      <xdr:row>13</xdr:row>
      <xdr:rowOff>152400</xdr:rowOff>
    </xdr:from>
    <xdr:to>
      <xdr:col>3</xdr:col>
      <xdr:colOff>30324</xdr:colOff>
      <xdr:row>15</xdr:row>
      <xdr:rowOff>44824</xdr:rowOff>
    </xdr:to>
    <xdr:sp macro="" textlink="">
      <xdr:nvSpPr>
        <xdr:cNvPr id="15" name="TextBox 14">
          <a:extLst>
            <a:ext uri="{FF2B5EF4-FFF2-40B4-BE49-F238E27FC236}">
              <a16:creationId xmlns:a16="http://schemas.microsoft.com/office/drawing/2014/main" id="{A9DE79AA-BCA2-4403-A7A5-80ECDDF296E7}"/>
            </a:ext>
          </a:extLst>
        </xdr:cNvPr>
        <xdr:cNvSpPr txBox="1"/>
      </xdr:nvSpPr>
      <xdr:spPr>
        <a:xfrm>
          <a:off x="112620" y="2628900"/>
          <a:ext cx="1746504" cy="2734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2">
                  <a:lumMod val="50000"/>
                </a:schemeClr>
              </a:solidFill>
            </a:rPr>
            <a:t>Training Hours / employee</a:t>
          </a:r>
        </a:p>
      </xdr:txBody>
    </xdr:sp>
    <xdr:clientData/>
  </xdr:twoCellAnchor>
  <xdr:twoCellAnchor>
    <xdr:from>
      <xdr:col>2</xdr:col>
      <xdr:colOff>124946</xdr:colOff>
      <xdr:row>3</xdr:row>
      <xdr:rowOff>142875</xdr:rowOff>
    </xdr:from>
    <xdr:to>
      <xdr:col>4</xdr:col>
      <xdr:colOff>563096</xdr:colOff>
      <xdr:row>5</xdr:row>
      <xdr:rowOff>156321</xdr:rowOff>
    </xdr:to>
    <xdr:grpSp>
      <xdr:nvGrpSpPr>
        <xdr:cNvPr id="42" name="Group 41">
          <a:extLst>
            <a:ext uri="{FF2B5EF4-FFF2-40B4-BE49-F238E27FC236}">
              <a16:creationId xmlns:a16="http://schemas.microsoft.com/office/drawing/2014/main" id="{E2090384-0B9D-E801-FE08-6E5172073441}"/>
            </a:ext>
          </a:extLst>
        </xdr:cNvPr>
        <xdr:cNvGrpSpPr/>
      </xdr:nvGrpSpPr>
      <xdr:grpSpPr>
        <a:xfrm>
          <a:off x="1344146" y="714375"/>
          <a:ext cx="1657350" cy="394446"/>
          <a:chOff x="1315571" y="1038226"/>
          <a:chExt cx="1657350" cy="394446"/>
        </a:xfrm>
        <a:solidFill>
          <a:schemeClr val="accent5">
            <a:lumMod val="50000"/>
          </a:schemeClr>
        </a:solidFill>
      </xdr:grpSpPr>
      <xdr:sp macro="" textlink="">
        <xdr:nvSpPr>
          <xdr:cNvPr id="16" name="Rectangle: Rounded Corners 15">
            <a:extLst>
              <a:ext uri="{FF2B5EF4-FFF2-40B4-BE49-F238E27FC236}">
                <a16:creationId xmlns:a16="http://schemas.microsoft.com/office/drawing/2014/main" id="{7C74503D-48F4-45B5-9435-8B9D40802AD2}"/>
              </a:ext>
            </a:extLst>
          </xdr:cNvPr>
          <xdr:cNvSpPr/>
        </xdr:nvSpPr>
        <xdr:spPr>
          <a:xfrm>
            <a:off x="1315571" y="1038226"/>
            <a:ext cx="1657350" cy="394446"/>
          </a:xfrm>
          <a:prstGeom prst="roundRect">
            <a:avLst>
              <a:gd name="adj" fmla="val 11364"/>
            </a:avLst>
          </a:prstGeom>
          <a:solidFill>
            <a:srgbClr val="006600"/>
          </a:soli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People</a:t>
            </a:r>
          </a:p>
        </xdr:txBody>
      </xdr:sp>
      <xdr:pic>
        <xdr:nvPicPr>
          <xdr:cNvPr id="17" name="Graphic 16" descr="Gender with solid fill">
            <a:extLst>
              <a:ext uri="{FF2B5EF4-FFF2-40B4-BE49-F238E27FC236}">
                <a16:creationId xmlns:a16="http://schemas.microsoft.com/office/drawing/2014/main" id="{4F7E0DD3-0E3B-4549-B9CA-48D332D5D3F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17547" y="1080249"/>
            <a:ext cx="274320" cy="274320"/>
          </a:xfrm>
          <a:prstGeom prst="rect">
            <a:avLst/>
          </a:prstGeom>
        </xdr:spPr>
      </xdr:pic>
    </xdr:grpSp>
    <xdr:clientData/>
  </xdr:twoCellAnchor>
  <xdr:twoCellAnchor>
    <xdr:from>
      <xdr:col>3</xdr:col>
      <xdr:colOff>152958</xdr:colOff>
      <xdr:row>8</xdr:row>
      <xdr:rowOff>19050</xdr:rowOff>
    </xdr:from>
    <xdr:to>
      <xdr:col>4</xdr:col>
      <xdr:colOff>19608</xdr:colOff>
      <xdr:row>9</xdr:row>
      <xdr:rowOff>123825</xdr:rowOff>
    </xdr:to>
    <xdr:sp macro="" textlink="'Sustainability Performance'!Q10">
      <xdr:nvSpPr>
        <xdr:cNvPr id="21" name="Rectangle: Rounded Corners 20">
          <a:extLst>
            <a:ext uri="{FF2B5EF4-FFF2-40B4-BE49-F238E27FC236}">
              <a16:creationId xmlns:a16="http://schemas.microsoft.com/office/drawing/2014/main" id="{4281CE8F-F0A0-1ED9-A870-64A18A901130}"/>
            </a:ext>
          </a:extLst>
        </xdr:cNvPr>
        <xdr:cNvSpPr/>
      </xdr:nvSpPr>
      <xdr:spPr>
        <a:xfrm>
          <a:off x="1981758" y="1543050"/>
          <a:ext cx="476250" cy="295275"/>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7FEDB9-AF40-4E47-A745-F545AC7D21A3}" type="TxLink">
            <a:rPr lang="en-US" sz="1000" b="0" i="0" u="none" strike="noStrike">
              <a:solidFill>
                <a:schemeClr val="bg2">
                  <a:lumMod val="50000"/>
                </a:schemeClr>
              </a:solidFill>
              <a:latin typeface="Trebuchet MS"/>
            </a:rPr>
            <a:pPr algn="ctr"/>
            <a:t>22%</a:t>
          </a:fld>
          <a:endParaRPr lang="en-US" sz="800">
            <a:solidFill>
              <a:schemeClr val="bg2">
                <a:lumMod val="50000"/>
              </a:schemeClr>
            </a:solidFill>
          </a:endParaRPr>
        </a:p>
      </xdr:txBody>
    </xdr:sp>
    <xdr:clientData/>
  </xdr:twoCellAnchor>
  <xdr:twoCellAnchor>
    <xdr:from>
      <xdr:col>3</xdr:col>
      <xdr:colOff>152958</xdr:colOff>
      <xdr:row>9</xdr:row>
      <xdr:rowOff>187325</xdr:rowOff>
    </xdr:from>
    <xdr:to>
      <xdr:col>4</xdr:col>
      <xdr:colOff>19608</xdr:colOff>
      <xdr:row>11</xdr:row>
      <xdr:rowOff>101600</xdr:rowOff>
    </xdr:to>
    <xdr:sp macro="" textlink="'Sustainability Performance'!Q11">
      <xdr:nvSpPr>
        <xdr:cNvPr id="22" name="Rectangle: Rounded Corners 21">
          <a:extLst>
            <a:ext uri="{FF2B5EF4-FFF2-40B4-BE49-F238E27FC236}">
              <a16:creationId xmlns:a16="http://schemas.microsoft.com/office/drawing/2014/main" id="{C46B9655-8D3D-47CE-8164-3748F3F3C66F}"/>
            </a:ext>
          </a:extLst>
        </xdr:cNvPr>
        <xdr:cNvSpPr/>
      </xdr:nvSpPr>
      <xdr:spPr>
        <a:xfrm>
          <a:off x="1981758" y="1901825"/>
          <a:ext cx="476250" cy="295275"/>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3D4D5BD-8083-403A-9A8C-EC05AFE0FA8D}" type="TxLink">
            <a:rPr lang="en-US" sz="1000" b="0" i="0" u="none" strike="noStrike">
              <a:solidFill>
                <a:schemeClr val="bg2">
                  <a:lumMod val="50000"/>
                </a:schemeClr>
              </a:solidFill>
              <a:latin typeface="Trebuchet MS"/>
            </a:rPr>
            <a:pPr algn="ctr"/>
            <a:t>11%</a:t>
          </a:fld>
          <a:endParaRPr lang="en-US" sz="1000">
            <a:solidFill>
              <a:schemeClr val="bg2">
                <a:lumMod val="50000"/>
              </a:schemeClr>
            </a:solidFill>
          </a:endParaRPr>
        </a:p>
      </xdr:txBody>
    </xdr:sp>
    <xdr:clientData/>
  </xdr:twoCellAnchor>
  <xdr:twoCellAnchor>
    <xdr:from>
      <xdr:col>3</xdr:col>
      <xdr:colOff>152958</xdr:colOff>
      <xdr:row>11</xdr:row>
      <xdr:rowOff>165100</xdr:rowOff>
    </xdr:from>
    <xdr:to>
      <xdr:col>4</xdr:col>
      <xdr:colOff>19608</xdr:colOff>
      <xdr:row>13</xdr:row>
      <xdr:rowOff>79375</xdr:rowOff>
    </xdr:to>
    <xdr:sp macro="" textlink="'Sustainability Performance'!P9">
      <xdr:nvSpPr>
        <xdr:cNvPr id="23" name="Rectangle: Rounded Corners 22">
          <a:extLst>
            <a:ext uri="{FF2B5EF4-FFF2-40B4-BE49-F238E27FC236}">
              <a16:creationId xmlns:a16="http://schemas.microsoft.com/office/drawing/2014/main" id="{EED2E7F3-A9A7-454D-9B3F-2D8DD719D858}"/>
            </a:ext>
          </a:extLst>
        </xdr:cNvPr>
        <xdr:cNvSpPr/>
      </xdr:nvSpPr>
      <xdr:spPr>
        <a:xfrm>
          <a:off x="1981758" y="2260600"/>
          <a:ext cx="476250" cy="295275"/>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E664404-5A57-482B-B309-04C5576D6272}" type="TxLink">
            <a:rPr lang="en-US" sz="1000" b="0" i="0" u="none" strike="noStrike">
              <a:solidFill>
                <a:schemeClr val="bg2">
                  <a:lumMod val="50000"/>
                </a:schemeClr>
              </a:solidFill>
              <a:latin typeface="Trebuchet MS"/>
            </a:rPr>
            <a:pPr algn="ctr"/>
            <a:t> 20 </a:t>
          </a:fld>
          <a:endParaRPr lang="en-US" sz="1000">
            <a:solidFill>
              <a:schemeClr val="bg2">
                <a:lumMod val="50000"/>
              </a:schemeClr>
            </a:solidFill>
          </a:endParaRPr>
        </a:p>
      </xdr:txBody>
    </xdr:sp>
    <xdr:clientData/>
  </xdr:twoCellAnchor>
  <xdr:twoCellAnchor>
    <xdr:from>
      <xdr:col>3</xdr:col>
      <xdr:colOff>152958</xdr:colOff>
      <xdr:row>13</xdr:row>
      <xdr:rowOff>142875</xdr:rowOff>
    </xdr:from>
    <xdr:to>
      <xdr:col>4</xdr:col>
      <xdr:colOff>19608</xdr:colOff>
      <xdr:row>15</xdr:row>
      <xdr:rowOff>57150</xdr:rowOff>
    </xdr:to>
    <xdr:sp macro="" textlink="'Sustainability Performance'!P12">
      <xdr:nvSpPr>
        <xdr:cNvPr id="24" name="Rectangle: Rounded Corners 23">
          <a:extLst>
            <a:ext uri="{FF2B5EF4-FFF2-40B4-BE49-F238E27FC236}">
              <a16:creationId xmlns:a16="http://schemas.microsoft.com/office/drawing/2014/main" id="{2C5379AF-3CEB-4467-AF78-9C6280C54480}"/>
            </a:ext>
          </a:extLst>
        </xdr:cNvPr>
        <xdr:cNvSpPr/>
      </xdr:nvSpPr>
      <xdr:spPr>
        <a:xfrm>
          <a:off x="1981758" y="2619375"/>
          <a:ext cx="476250" cy="295275"/>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89AA45-3BDF-4751-89C9-17C049E78FB2}" type="TxLink">
            <a:rPr lang="en-US" sz="900" b="0" i="0" u="none" strike="noStrike">
              <a:solidFill>
                <a:schemeClr val="bg2">
                  <a:lumMod val="50000"/>
                </a:schemeClr>
              </a:solidFill>
              <a:latin typeface="Trebuchet MS"/>
              <a:cs typeface="Calibri"/>
            </a:rPr>
            <a:pPr algn="ctr"/>
            <a:t> 25.9 </a:t>
          </a:fld>
          <a:endParaRPr lang="en-US" sz="700">
            <a:solidFill>
              <a:schemeClr val="bg2">
                <a:lumMod val="50000"/>
              </a:schemeClr>
            </a:solidFill>
          </a:endParaRPr>
        </a:p>
      </xdr:txBody>
    </xdr:sp>
    <xdr:clientData/>
  </xdr:twoCellAnchor>
  <xdr:twoCellAnchor>
    <xdr:from>
      <xdr:col>4</xdr:col>
      <xdr:colOff>119714</xdr:colOff>
      <xdr:row>8</xdr:row>
      <xdr:rowOff>19050</xdr:rowOff>
    </xdr:from>
    <xdr:to>
      <xdr:col>4</xdr:col>
      <xdr:colOff>595964</xdr:colOff>
      <xdr:row>9</xdr:row>
      <xdr:rowOff>123825</xdr:rowOff>
    </xdr:to>
    <xdr:sp macro="" textlink="'Sustainability Performance'!Q56">
      <xdr:nvSpPr>
        <xdr:cNvPr id="25" name="Rectangle: Rounded Corners 24">
          <a:extLst>
            <a:ext uri="{FF2B5EF4-FFF2-40B4-BE49-F238E27FC236}">
              <a16:creationId xmlns:a16="http://schemas.microsoft.com/office/drawing/2014/main" id="{0B69429F-5B08-4EFA-9C01-8C12BE1CAA1D}"/>
            </a:ext>
          </a:extLst>
        </xdr:cNvPr>
        <xdr:cNvSpPr/>
      </xdr:nvSpPr>
      <xdr:spPr>
        <a:xfrm>
          <a:off x="2558114" y="1543050"/>
          <a:ext cx="476250" cy="295275"/>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2AAF4367-290E-4C98-B0A2-9A96945ACF69}" type="TxLink">
            <a:rPr lang="en-US" sz="1100" b="0" i="0" u="none" strike="noStrike">
              <a:solidFill>
                <a:schemeClr val="bg2">
                  <a:lumMod val="50000"/>
                </a:schemeClr>
              </a:solidFill>
              <a:latin typeface="Trebuchet MS"/>
            </a:rPr>
            <a:pPr algn="l"/>
            <a:t>21%</a:t>
          </a:fld>
          <a:endParaRPr lang="en-US" sz="1100">
            <a:solidFill>
              <a:schemeClr val="bg2">
                <a:lumMod val="50000"/>
              </a:schemeClr>
            </a:solidFill>
          </a:endParaRPr>
        </a:p>
      </xdr:txBody>
    </xdr:sp>
    <xdr:clientData/>
  </xdr:twoCellAnchor>
  <xdr:twoCellAnchor>
    <xdr:from>
      <xdr:col>4</xdr:col>
      <xdr:colOff>119714</xdr:colOff>
      <xdr:row>9</xdr:row>
      <xdr:rowOff>187325</xdr:rowOff>
    </xdr:from>
    <xdr:to>
      <xdr:col>4</xdr:col>
      <xdr:colOff>595964</xdr:colOff>
      <xdr:row>11</xdr:row>
      <xdr:rowOff>101600</xdr:rowOff>
    </xdr:to>
    <xdr:sp macro="" textlink="'Sustainability Performance'!Q57">
      <xdr:nvSpPr>
        <xdr:cNvPr id="26" name="Rectangle: Rounded Corners 25">
          <a:extLst>
            <a:ext uri="{FF2B5EF4-FFF2-40B4-BE49-F238E27FC236}">
              <a16:creationId xmlns:a16="http://schemas.microsoft.com/office/drawing/2014/main" id="{139CFC80-D538-47E1-92CB-39CDB663EB3E}"/>
            </a:ext>
          </a:extLst>
        </xdr:cNvPr>
        <xdr:cNvSpPr/>
      </xdr:nvSpPr>
      <xdr:spPr>
        <a:xfrm>
          <a:off x="2558114" y="1901825"/>
          <a:ext cx="476250" cy="295275"/>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21ADC9D-7D1C-444C-A148-9F6D384ED130}" type="TxLink">
            <a:rPr lang="en-US" sz="1100" b="0" i="0" u="none" strike="noStrike">
              <a:solidFill>
                <a:schemeClr val="bg2">
                  <a:lumMod val="50000"/>
                </a:schemeClr>
              </a:solidFill>
              <a:latin typeface="Trebuchet MS"/>
            </a:rPr>
            <a:pPr algn="l"/>
            <a:t>11%</a:t>
          </a:fld>
          <a:endParaRPr lang="en-US" sz="1100">
            <a:solidFill>
              <a:schemeClr val="bg2">
                <a:lumMod val="50000"/>
              </a:schemeClr>
            </a:solidFill>
          </a:endParaRPr>
        </a:p>
      </xdr:txBody>
    </xdr:sp>
    <xdr:clientData/>
  </xdr:twoCellAnchor>
  <xdr:twoCellAnchor>
    <xdr:from>
      <xdr:col>4</xdr:col>
      <xdr:colOff>119714</xdr:colOff>
      <xdr:row>11</xdr:row>
      <xdr:rowOff>165100</xdr:rowOff>
    </xdr:from>
    <xdr:to>
      <xdr:col>4</xdr:col>
      <xdr:colOff>595964</xdr:colOff>
      <xdr:row>13</xdr:row>
      <xdr:rowOff>79375</xdr:rowOff>
    </xdr:to>
    <xdr:sp macro="" textlink="'Sustainability Performance'!P55">
      <xdr:nvSpPr>
        <xdr:cNvPr id="27" name="Rectangle: Rounded Corners 26">
          <a:extLst>
            <a:ext uri="{FF2B5EF4-FFF2-40B4-BE49-F238E27FC236}">
              <a16:creationId xmlns:a16="http://schemas.microsoft.com/office/drawing/2014/main" id="{EAA3063B-56AB-4B61-8951-A651C5D7A628}"/>
            </a:ext>
          </a:extLst>
        </xdr:cNvPr>
        <xdr:cNvSpPr/>
      </xdr:nvSpPr>
      <xdr:spPr>
        <a:xfrm>
          <a:off x="2558114" y="2260600"/>
          <a:ext cx="476250" cy="295275"/>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4349482-D2D7-4DDE-BA74-DBAF20C9A70E}" type="TxLink">
            <a:rPr lang="en-US" sz="1100" b="0" i="0" u="none" strike="noStrike">
              <a:solidFill>
                <a:schemeClr val="bg2">
                  <a:lumMod val="50000"/>
                </a:schemeClr>
              </a:solidFill>
              <a:latin typeface="Trebuchet MS"/>
            </a:rPr>
            <a:pPr algn="l"/>
            <a:t> 1 </a:t>
          </a:fld>
          <a:endParaRPr lang="en-US" sz="1100">
            <a:solidFill>
              <a:schemeClr val="bg2">
                <a:lumMod val="50000"/>
              </a:schemeClr>
            </a:solidFill>
          </a:endParaRPr>
        </a:p>
      </xdr:txBody>
    </xdr:sp>
    <xdr:clientData/>
  </xdr:twoCellAnchor>
  <xdr:twoCellAnchor>
    <xdr:from>
      <xdr:col>4</xdr:col>
      <xdr:colOff>119714</xdr:colOff>
      <xdr:row>13</xdr:row>
      <xdr:rowOff>142875</xdr:rowOff>
    </xdr:from>
    <xdr:to>
      <xdr:col>4</xdr:col>
      <xdr:colOff>595964</xdr:colOff>
      <xdr:row>15</xdr:row>
      <xdr:rowOff>57150</xdr:rowOff>
    </xdr:to>
    <xdr:sp macro="" textlink="'Sustainability Performance'!P58">
      <xdr:nvSpPr>
        <xdr:cNvPr id="28" name="Rectangle: Rounded Corners 27">
          <a:extLst>
            <a:ext uri="{FF2B5EF4-FFF2-40B4-BE49-F238E27FC236}">
              <a16:creationId xmlns:a16="http://schemas.microsoft.com/office/drawing/2014/main" id="{1D34F144-2B77-4476-AE9B-72CA1CEC6833}"/>
            </a:ext>
          </a:extLst>
        </xdr:cNvPr>
        <xdr:cNvSpPr/>
      </xdr:nvSpPr>
      <xdr:spPr>
        <a:xfrm>
          <a:off x="2558114" y="2619375"/>
          <a:ext cx="476250" cy="295275"/>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9E48EEA6-F2D7-46B6-A792-E50234D01338}" type="TxLink">
            <a:rPr lang="en-US" sz="1100" b="0" i="0" u="none" strike="noStrike">
              <a:solidFill>
                <a:schemeClr val="bg2">
                  <a:lumMod val="50000"/>
                </a:schemeClr>
              </a:solidFill>
              <a:latin typeface="Trebuchet MS"/>
            </a:rPr>
            <a:pPr algn="l"/>
            <a:t> 1.15 </a:t>
          </a:fld>
          <a:endParaRPr lang="en-US" sz="1100">
            <a:solidFill>
              <a:schemeClr val="bg2">
                <a:lumMod val="50000"/>
              </a:schemeClr>
            </a:solidFill>
          </a:endParaRPr>
        </a:p>
      </xdr:txBody>
    </xdr:sp>
    <xdr:clientData/>
  </xdr:twoCellAnchor>
  <xdr:twoCellAnchor>
    <xdr:from>
      <xdr:col>5</xdr:col>
      <xdr:colOff>86469</xdr:colOff>
      <xdr:row>8</xdr:row>
      <xdr:rowOff>19050</xdr:rowOff>
    </xdr:from>
    <xdr:to>
      <xdr:col>5</xdr:col>
      <xdr:colOff>562719</xdr:colOff>
      <xdr:row>9</xdr:row>
      <xdr:rowOff>123825</xdr:rowOff>
    </xdr:to>
    <xdr:sp macro="" textlink="">
      <xdr:nvSpPr>
        <xdr:cNvPr id="29" name="Rectangle: Rounded Corners 28">
          <a:extLst>
            <a:ext uri="{FF2B5EF4-FFF2-40B4-BE49-F238E27FC236}">
              <a16:creationId xmlns:a16="http://schemas.microsoft.com/office/drawing/2014/main" id="{CA469F4D-99A4-426A-A8AB-C16CA85CC875}"/>
            </a:ext>
          </a:extLst>
        </xdr:cNvPr>
        <xdr:cNvSpPr/>
      </xdr:nvSpPr>
      <xdr:spPr>
        <a:xfrm>
          <a:off x="3134469" y="1543050"/>
          <a:ext cx="476250" cy="295275"/>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2">
                <a:lumMod val="50000"/>
              </a:schemeClr>
            </a:solidFill>
          </a:endParaRPr>
        </a:p>
      </xdr:txBody>
    </xdr:sp>
    <xdr:clientData/>
  </xdr:twoCellAnchor>
  <xdr:twoCellAnchor>
    <xdr:from>
      <xdr:col>5</xdr:col>
      <xdr:colOff>86469</xdr:colOff>
      <xdr:row>9</xdr:row>
      <xdr:rowOff>187325</xdr:rowOff>
    </xdr:from>
    <xdr:to>
      <xdr:col>5</xdr:col>
      <xdr:colOff>562719</xdr:colOff>
      <xdr:row>11</xdr:row>
      <xdr:rowOff>101600</xdr:rowOff>
    </xdr:to>
    <xdr:sp macro="" textlink="">
      <xdr:nvSpPr>
        <xdr:cNvPr id="30" name="Rectangle: Rounded Corners 29">
          <a:extLst>
            <a:ext uri="{FF2B5EF4-FFF2-40B4-BE49-F238E27FC236}">
              <a16:creationId xmlns:a16="http://schemas.microsoft.com/office/drawing/2014/main" id="{18A6B2E1-22B8-4708-AC16-56239150163B}"/>
            </a:ext>
          </a:extLst>
        </xdr:cNvPr>
        <xdr:cNvSpPr/>
      </xdr:nvSpPr>
      <xdr:spPr>
        <a:xfrm>
          <a:off x="3134469" y="1901825"/>
          <a:ext cx="476250" cy="295275"/>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2">
                <a:lumMod val="50000"/>
              </a:schemeClr>
            </a:solidFill>
          </a:endParaRPr>
        </a:p>
      </xdr:txBody>
    </xdr:sp>
    <xdr:clientData/>
  </xdr:twoCellAnchor>
  <xdr:twoCellAnchor>
    <xdr:from>
      <xdr:col>5</xdr:col>
      <xdr:colOff>86469</xdr:colOff>
      <xdr:row>11</xdr:row>
      <xdr:rowOff>165100</xdr:rowOff>
    </xdr:from>
    <xdr:to>
      <xdr:col>5</xdr:col>
      <xdr:colOff>562719</xdr:colOff>
      <xdr:row>13</xdr:row>
      <xdr:rowOff>79375</xdr:rowOff>
    </xdr:to>
    <xdr:sp macro="" textlink="">
      <xdr:nvSpPr>
        <xdr:cNvPr id="31" name="Rectangle: Rounded Corners 30">
          <a:extLst>
            <a:ext uri="{FF2B5EF4-FFF2-40B4-BE49-F238E27FC236}">
              <a16:creationId xmlns:a16="http://schemas.microsoft.com/office/drawing/2014/main" id="{70046274-CBD4-46F4-88AD-D1A49039623C}"/>
            </a:ext>
          </a:extLst>
        </xdr:cNvPr>
        <xdr:cNvSpPr/>
      </xdr:nvSpPr>
      <xdr:spPr>
        <a:xfrm>
          <a:off x="3134469" y="2260600"/>
          <a:ext cx="476250" cy="295275"/>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2">
                <a:lumMod val="50000"/>
              </a:schemeClr>
            </a:solidFill>
          </a:endParaRPr>
        </a:p>
      </xdr:txBody>
    </xdr:sp>
    <xdr:clientData/>
  </xdr:twoCellAnchor>
  <xdr:twoCellAnchor>
    <xdr:from>
      <xdr:col>5</xdr:col>
      <xdr:colOff>86469</xdr:colOff>
      <xdr:row>13</xdr:row>
      <xdr:rowOff>142875</xdr:rowOff>
    </xdr:from>
    <xdr:to>
      <xdr:col>5</xdr:col>
      <xdr:colOff>562719</xdr:colOff>
      <xdr:row>15</xdr:row>
      <xdr:rowOff>57150</xdr:rowOff>
    </xdr:to>
    <xdr:sp macro="" textlink="">
      <xdr:nvSpPr>
        <xdr:cNvPr id="32" name="Rectangle: Rounded Corners 31">
          <a:extLst>
            <a:ext uri="{FF2B5EF4-FFF2-40B4-BE49-F238E27FC236}">
              <a16:creationId xmlns:a16="http://schemas.microsoft.com/office/drawing/2014/main" id="{F9731B0D-AE3A-4917-A95D-602D638A84ED}"/>
            </a:ext>
          </a:extLst>
        </xdr:cNvPr>
        <xdr:cNvSpPr/>
      </xdr:nvSpPr>
      <xdr:spPr>
        <a:xfrm>
          <a:off x="3134469" y="2619375"/>
          <a:ext cx="476250" cy="295275"/>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2">
                <a:lumMod val="50000"/>
              </a:schemeClr>
            </a:solidFill>
          </a:endParaRPr>
        </a:p>
      </xdr:txBody>
    </xdr:sp>
    <xdr:clientData/>
  </xdr:twoCellAnchor>
  <xdr:twoCellAnchor>
    <xdr:from>
      <xdr:col>6</xdr:col>
      <xdr:colOff>62750</xdr:colOff>
      <xdr:row>8</xdr:row>
      <xdr:rowOff>19050</xdr:rowOff>
    </xdr:from>
    <xdr:to>
      <xdr:col>6</xdr:col>
      <xdr:colOff>539000</xdr:colOff>
      <xdr:row>9</xdr:row>
      <xdr:rowOff>123825</xdr:rowOff>
    </xdr:to>
    <xdr:sp macro="" textlink="">
      <xdr:nvSpPr>
        <xdr:cNvPr id="33" name="Rectangle: Rounded Corners 32">
          <a:extLst>
            <a:ext uri="{FF2B5EF4-FFF2-40B4-BE49-F238E27FC236}">
              <a16:creationId xmlns:a16="http://schemas.microsoft.com/office/drawing/2014/main" id="{CBFEE0A6-91FE-4F14-B641-678D1DC39830}"/>
            </a:ext>
          </a:extLst>
        </xdr:cNvPr>
        <xdr:cNvSpPr/>
      </xdr:nvSpPr>
      <xdr:spPr>
        <a:xfrm>
          <a:off x="3720350" y="1543050"/>
          <a:ext cx="476250" cy="295275"/>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2">
                <a:lumMod val="50000"/>
              </a:schemeClr>
            </a:solidFill>
          </a:endParaRPr>
        </a:p>
      </xdr:txBody>
    </xdr:sp>
    <xdr:clientData/>
  </xdr:twoCellAnchor>
  <xdr:twoCellAnchor>
    <xdr:from>
      <xdr:col>6</xdr:col>
      <xdr:colOff>62750</xdr:colOff>
      <xdr:row>9</xdr:row>
      <xdr:rowOff>187325</xdr:rowOff>
    </xdr:from>
    <xdr:to>
      <xdr:col>6</xdr:col>
      <xdr:colOff>539000</xdr:colOff>
      <xdr:row>11</xdr:row>
      <xdr:rowOff>101600</xdr:rowOff>
    </xdr:to>
    <xdr:sp macro="" textlink="">
      <xdr:nvSpPr>
        <xdr:cNvPr id="34" name="Rectangle: Rounded Corners 33">
          <a:extLst>
            <a:ext uri="{FF2B5EF4-FFF2-40B4-BE49-F238E27FC236}">
              <a16:creationId xmlns:a16="http://schemas.microsoft.com/office/drawing/2014/main" id="{5CC5EFAF-17A6-49B9-A056-6AB738088586}"/>
            </a:ext>
          </a:extLst>
        </xdr:cNvPr>
        <xdr:cNvSpPr/>
      </xdr:nvSpPr>
      <xdr:spPr>
        <a:xfrm>
          <a:off x="3720350" y="1901825"/>
          <a:ext cx="476250" cy="295275"/>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2">
                <a:lumMod val="50000"/>
              </a:schemeClr>
            </a:solidFill>
          </a:endParaRPr>
        </a:p>
      </xdr:txBody>
    </xdr:sp>
    <xdr:clientData/>
  </xdr:twoCellAnchor>
  <xdr:twoCellAnchor>
    <xdr:from>
      <xdr:col>6</xdr:col>
      <xdr:colOff>62750</xdr:colOff>
      <xdr:row>11</xdr:row>
      <xdr:rowOff>165100</xdr:rowOff>
    </xdr:from>
    <xdr:to>
      <xdr:col>6</xdr:col>
      <xdr:colOff>539000</xdr:colOff>
      <xdr:row>13</xdr:row>
      <xdr:rowOff>79375</xdr:rowOff>
    </xdr:to>
    <xdr:sp macro="" textlink="">
      <xdr:nvSpPr>
        <xdr:cNvPr id="35" name="Rectangle: Rounded Corners 34">
          <a:extLst>
            <a:ext uri="{FF2B5EF4-FFF2-40B4-BE49-F238E27FC236}">
              <a16:creationId xmlns:a16="http://schemas.microsoft.com/office/drawing/2014/main" id="{593E863F-74E5-4E0D-B353-ABF56F9C2D6D}"/>
            </a:ext>
          </a:extLst>
        </xdr:cNvPr>
        <xdr:cNvSpPr/>
      </xdr:nvSpPr>
      <xdr:spPr>
        <a:xfrm>
          <a:off x="3720350" y="2260600"/>
          <a:ext cx="476250" cy="295275"/>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2">
                <a:lumMod val="50000"/>
              </a:schemeClr>
            </a:solidFill>
          </a:endParaRPr>
        </a:p>
      </xdr:txBody>
    </xdr:sp>
    <xdr:clientData/>
  </xdr:twoCellAnchor>
  <xdr:twoCellAnchor>
    <xdr:from>
      <xdr:col>6</xdr:col>
      <xdr:colOff>62750</xdr:colOff>
      <xdr:row>13</xdr:row>
      <xdr:rowOff>142875</xdr:rowOff>
    </xdr:from>
    <xdr:to>
      <xdr:col>6</xdr:col>
      <xdr:colOff>539000</xdr:colOff>
      <xdr:row>15</xdr:row>
      <xdr:rowOff>57150</xdr:rowOff>
    </xdr:to>
    <xdr:sp macro="" textlink="">
      <xdr:nvSpPr>
        <xdr:cNvPr id="36" name="Rectangle: Rounded Corners 35">
          <a:extLst>
            <a:ext uri="{FF2B5EF4-FFF2-40B4-BE49-F238E27FC236}">
              <a16:creationId xmlns:a16="http://schemas.microsoft.com/office/drawing/2014/main" id="{493AE91F-AACA-424D-AF1A-CF94D5166EF0}"/>
            </a:ext>
          </a:extLst>
        </xdr:cNvPr>
        <xdr:cNvSpPr/>
      </xdr:nvSpPr>
      <xdr:spPr>
        <a:xfrm>
          <a:off x="3720350" y="2619375"/>
          <a:ext cx="476250" cy="295275"/>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2">
                <a:lumMod val="50000"/>
              </a:schemeClr>
            </a:solidFill>
          </a:endParaRPr>
        </a:p>
      </xdr:txBody>
    </xdr:sp>
    <xdr:clientData/>
  </xdr:twoCellAnchor>
  <xdr:twoCellAnchor>
    <xdr:from>
      <xdr:col>1</xdr:col>
      <xdr:colOff>10646</xdr:colOff>
      <xdr:row>17</xdr:row>
      <xdr:rowOff>80963</xdr:rowOff>
    </xdr:from>
    <xdr:to>
      <xdr:col>2</xdr:col>
      <xdr:colOff>333375</xdr:colOff>
      <xdr:row>18</xdr:row>
      <xdr:rowOff>109538</xdr:rowOff>
    </xdr:to>
    <xdr:sp macro="" textlink="">
      <xdr:nvSpPr>
        <xdr:cNvPr id="41" name="Rectangle: Rounded Corners 40">
          <a:extLst>
            <a:ext uri="{FF2B5EF4-FFF2-40B4-BE49-F238E27FC236}">
              <a16:creationId xmlns:a16="http://schemas.microsoft.com/office/drawing/2014/main" id="{536CA9A5-5D89-4F67-B296-911B04DB44BE}"/>
            </a:ext>
          </a:extLst>
        </xdr:cNvPr>
        <xdr:cNvSpPr/>
      </xdr:nvSpPr>
      <xdr:spPr>
        <a:xfrm>
          <a:off x="620246" y="3319463"/>
          <a:ext cx="932329" cy="219075"/>
        </a:xfrm>
        <a:prstGeom prst="roundRect">
          <a:avLst>
            <a:gd name="adj" fmla="val 15873"/>
          </a:avLst>
        </a:prstGeom>
        <a:solidFill>
          <a:srgbClr val="006600"/>
        </a:soli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t>Scope 3</a:t>
          </a:r>
        </a:p>
      </xdr:txBody>
    </xdr:sp>
    <xdr:clientData/>
  </xdr:twoCellAnchor>
  <xdr:twoCellAnchor>
    <xdr:from>
      <xdr:col>7</xdr:col>
      <xdr:colOff>114299</xdr:colOff>
      <xdr:row>3</xdr:row>
      <xdr:rowOff>85725</xdr:rowOff>
    </xdr:from>
    <xdr:to>
      <xdr:col>11</xdr:col>
      <xdr:colOff>355091</xdr:colOff>
      <xdr:row>30</xdr:row>
      <xdr:rowOff>38101</xdr:rowOff>
    </xdr:to>
    <xdr:sp macro="" textlink="">
      <xdr:nvSpPr>
        <xdr:cNvPr id="43" name="Rectangle 42">
          <a:extLst>
            <a:ext uri="{FF2B5EF4-FFF2-40B4-BE49-F238E27FC236}">
              <a16:creationId xmlns:a16="http://schemas.microsoft.com/office/drawing/2014/main" id="{D5D3DC4A-3ACF-4591-82A4-6056106FE0A0}"/>
            </a:ext>
          </a:extLst>
        </xdr:cNvPr>
        <xdr:cNvSpPr/>
      </xdr:nvSpPr>
      <xdr:spPr>
        <a:xfrm>
          <a:off x="4381499" y="657225"/>
          <a:ext cx="2679192" cy="5095876"/>
        </a:xfrm>
        <a:prstGeom prst="rect">
          <a:avLst/>
        </a:prstGeom>
        <a:solidFill>
          <a:schemeClr val="bg1"/>
        </a:solidFill>
        <a:ln>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585215</xdr:colOff>
      <xdr:row>3</xdr:row>
      <xdr:rowOff>0</xdr:rowOff>
    </xdr:from>
    <xdr:to>
      <xdr:col>10</xdr:col>
      <xdr:colOff>493775</xdr:colOff>
      <xdr:row>4</xdr:row>
      <xdr:rowOff>28956</xdr:rowOff>
    </xdr:to>
    <xdr:sp macro="" textlink="">
      <xdr:nvSpPr>
        <xdr:cNvPr id="44" name="Rectangle: Rounded Corners 43">
          <a:extLst>
            <a:ext uri="{FF2B5EF4-FFF2-40B4-BE49-F238E27FC236}">
              <a16:creationId xmlns:a16="http://schemas.microsoft.com/office/drawing/2014/main" id="{158BDB7D-000F-41AE-B380-6A028C7ADA1A}"/>
            </a:ext>
          </a:extLst>
        </xdr:cNvPr>
        <xdr:cNvSpPr/>
      </xdr:nvSpPr>
      <xdr:spPr>
        <a:xfrm>
          <a:off x="4852415" y="571500"/>
          <a:ext cx="1737360" cy="219456"/>
        </a:xfrm>
        <a:prstGeom prst="roundRect">
          <a:avLst>
            <a:gd name="adj" fmla="val 20833"/>
          </a:avLst>
        </a:prstGeom>
        <a:solidFill>
          <a:srgbClr val="006600"/>
        </a:soli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a:solidFill>
                <a:schemeClr val="lt1"/>
              </a:solidFill>
              <a:latin typeface="+mn-lt"/>
              <a:ea typeface="+mn-ea"/>
              <a:cs typeface="+mn-cs"/>
            </a:rPr>
            <a:t>Climate &amp; Energy</a:t>
          </a:r>
        </a:p>
      </xdr:txBody>
    </xdr:sp>
    <xdr:clientData/>
  </xdr:twoCellAnchor>
  <xdr:twoCellAnchor>
    <xdr:from>
      <xdr:col>7</xdr:col>
      <xdr:colOff>285751</xdr:colOff>
      <xdr:row>4</xdr:row>
      <xdr:rowOff>137833</xdr:rowOff>
    </xdr:from>
    <xdr:to>
      <xdr:col>11</xdr:col>
      <xdr:colOff>247651</xdr:colOff>
      <xdr:row>15</xdr:row>
      <xdr:rowOff>152401</xdr:rowOff>
    </xdr:to>
    <xdr:graphicFrame macro="">
      <xdr:nvGraphicFramePr>
        <xdr:cNvPr id="45" name="Chart 44">
          <a:extLst>
            <a:ext uri="{FF2B5EF4-FFF2-40B4-BE49-F238E27FC236}">
              <a16:creationId xmlns:a16="http://schemas.microsoft.com/office/drawing/2014/main" id="{78BE8F73-3F20-485B-9BBB-4218DE1212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220757</xdr:colOff>
      <xdr:row>16</xdr:row>
      <xdr:rowOff>109818</xdr:rowOff>
    </xdr:from>
    <xdr:to>
      <xdr:col>11</xdr:col>
      <xdr:colOff>228600</xdr:colOff>
      <xdr:row>27</xdr:row>
      <xdr:rowOff>114300</xdr:rowOff>
    </xdr:to>
    <xdr:graphicFrame macro="">
      <xdr:nvGraphicFramePr>
        <xdr:cNvPr id="46" name="Chart 45">
          <a:extLst>
            <a:ext uri="{FF2B5EF4-FFF2-40B4-BE49-F238E27FC236}">
              <a16:creationId xmlns:a16="http://schemas.microsoft.com/office/drawing/2014/main" id="{AF6CD508-A784-4EF9-8E93-32DB30C26E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251015</xdr:colOff>
      <xdr:row>32</xdr:row>
      <xdr:rowOff>114299</xdr:rowOff>
    </xdr:from>
    <xdr:to>
      <xdr:col>20</xdr:col>
      <xdr:colOff>24655</xdr:colOff>
      <xdr:row>35</xdr:row>
      <xdr:rowOff>48176</xdr:rowOff>
    </xdr:to>
    <xdr:sp macro="" textlink="'Dashboard Data'!B64">
      <xdr:nvSpPr>
        <xdr:cNvPr id="47" name="Scroll: Horizontal 46">
          <a:extLst>
            <a:ext uri="{FF2B5EF4-FFF2-40B4-BE49-F238E27FC236}">
              <a16:creationId xmlns:a16="http://schemas.microsoft.com/office/drawing/2014/main" id="{03324E87-8FFD-4E2A-9691-6500052E1C3F}"/>
            </a:ext>
          </a:extLst>
        </xdr:cNvPr>
        <xdr:cNvSpPr/>
      </xdr:nvSpPr>
      <xdr:spPr>
        <a:xfrm>
          <a:off x="10614215" y="6210299"/>
          <a:ext cx="1602440" cy="505377"/>
        </a:xfrm>
        <a:prstGeom prst="horizontalScroll">
          <a:avLst/>
        </a:prstGeom>
        <a:solidFill>
          <a:schemeClr val="accent5">
            <a:lumMod val="50000"/>
          </a:schemeClr>
        </a:solidFill>
        <a:ln>
          <a:solidFill>
            <a:schemeClr val="bg1"/>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fld id="{2DEB3ABE-DE3C-4CF7-97CC-EB1C5D9C1CE5}" type="TxLink">
            <a:rPr lang="en-US" sz="1000" b="0" i="0" u="none" strike="noStrike">
              <a:solidFill>
                <a:schemeClr val="bg1"/>
              </a:solidFill>
              <a:latin typeface="Calibri"/>
              <a:cs typeface="Calibri"/>
            </a:rPr>
            <a:pPr algn="ctr"/>
            <a:t>Till now we have 34 HCFC AC</a:t>
          </a:fld>
          <a:endParaRPr lang="en-US" sz="1000" b="1" i="0" u="none" strike="noStrike">
            <a:solidFill>
              <a:schemeClr val="bg1"/>
            </a:solidFill>
            <a:latin typeface="Calibri"/>
            <a:cs typeface="Calibri"/>
          </a:endParaRPr>
        </a:p>
      </xdr:txBody>
    </xdr:sp>
    <xdr:clientData/>
  </xdr:twoCellAnchor>
  <xdr:twoCellAnchor>
    <xdr:from>
      <xdr:col>11</xdr:col>
      <xdr:colOff>404811</xdr:colOff>
      <xdr:row>3</xdr:row>
      <xdr:rowOff>85725</xdr:rowOff>
    </xdr:from>
    <xdr:to>
      <xdr:col>16</xdr:col>
      <xdr:colOff>36003</xdr:colOff>
      <xdr:row>30</xdr:row>
      <xdr:rowOff>38101</xdr:rowOff>
    </xdr:to>
    <xdr:sp macro="" textlink="">
      <xdr:nvSpPr>
        <xdr:cNvPr id="50" name="Rectangle 49">
          <a:extLst>
            <a:ext uri="{FF2B5EF4-FFF2-40B4-BE49-F238E27FC236}">
              <a16:creationId xmlns:a16="http://schemas.microsoft.com/office/drawing/2014/main" id="{40085C2F-8CAA-4A84-8C13-015DA32B0F35}"/>
            </a:ext>
          </a:extLst>
        </xdr:cNvPr>
        <xdr:cNvSpPr/>
      </xdr:nvSpPr>
      <xdr:spPr>
        <a:xfrm>
          <a:off x="7110411" y="657225"/>
          <a:ext cx="2679192" cy="5095876"/>
        </a:xfrm>
        <a:prstGeom prst="rect">
          <a:avLst/>
        </a:prstGeom>
        <a:solidFill>
          <a:schemeClr val="bg1"/>
        </a:solidFill>
        <a:ln>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266127</xdr:colOff>
      <xdr:row>3</xdr:row>
      <xdr:rowOff>0</xdr:rowOff>
    </xdr:from>
    <xdr:to>
      <xdr:col>15</xdr:col>
      <xdr:colOff>174687</xdr:colOff>
      <xdr:row>4</xdr:row>
      <xdr:rowOff>28956</xdr:rowOff>
    </xdr:to>
    <xdr:sp macro="" textlink="">
      <xdr:nvSpPr>
        <xdr:cNvPr id="51" name="Rectangle: Rounded Corners 50">
          <a:extLst>
            <a:ext uri="{FF2B5EF4-FFF2-40B4-BE49-F238E27FC236}">
              <a16:creationId xmlns:a16="http://schemas.microsoft.com/office/drawing/2014/main" id="{1DE9D12B-D671-425E-99A6-637FA27CD983}"/>
            </a:ext>
          </a:extLst>
        </xdr:cNvPr>
        <xdr:cNvSpPr/>
      </xdr:nvSpPr>
      <xdr:spPr>
        <a:xfrm>
          <a:off x="7581327" y="571500"/>
          <a:ext cx="1737360" cy="219456"/>
        </a:xfrm>
        <a:prstGeom prst="roundRect">
          <a:avLst>
            <a:gd name="adj" fmla="val 15873"/>
          </a:avLst>
        </a:prstGeom>
        <a:solidFill>
          <a:srgbClr val="006600"/>
        </a:soli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a:solidFill>
                <a:schemeClr val="lt1"/>
              </a:solidFill>
              <a:latin typeface="+mn-lt"/>
              <a:ea typeface="+mn-ea"/>
              <a:cs typeface="+mn-cs"/>
            </a:rPr>
            <a:t>Product &amp; Packaging</a:t>
          </a:r>
        </a:p>
      </xdr:txBody>
    </xdr:sp>
    <xdr:clientData/>
  </xdr:twoCellAnchor>
  <xdr:twoCellAnchor>
    <xdr:from>
      <xdr:col>11</xdr:col>
      <xdr:colOff>571500</xdr:colOff>
      <xdr:row>4</xdr:row>
      <xdr:rowOff>66676</xdr:rowOff>
    </xdr:from>
    <xdr:to>
      <xdr:col>15</xdr:col>
      <xdr:colOff>504825</xdr:colOff>
      <xdr:row>12</xdr:row>
      <xdr:rowOff>188596</xdr:rowOff>
    </xdr:to>
    <xdr:graphicFrame macro="">
      <xdr:nvGraphicFramePr>
        <xdr:cNvPr id="52" name="Chart 51">
          <a:extLst>
            <a:ext uri="{FF2B5EF4-FFF2-40B4-BE49-F238E27FC236}">
              <a16:creationId xmlns:a16="http://schemas.microsoft.com/office/drawing/2014/main" id="{7280E5E4-31F7-4212-AE65-636DDCFD26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561975</xdr:colOff>
      <xdr:row>12</xdr:row>
      <xdr:rowOff>152955</xdr:rowOff>
    </xdr:from>
    <xdr:to>
      <xdr:col>15</xdr:col>
      <xdr:colOff>523875</xdr:colOff>
      <xdr:row>21</xdr:row>
      <xdr:rowOff>84375</xdr:rowOff>
    </xdr:to>
    <xdr:graphicFrame macro="">
      <xdr:nvGraphicFramePr>
        <xdr:cNvPr id="53" name="Chart 52">
          <a:extLst>
            <a:ext uri="{FF2B5EF4-FFF2-40B4-BE49-F238E27FC236}">
              <a16:creationId xmlns:a16="http://schemas.microsoft.com/office/drawing/2014/main" id="{806B0849-A5A2-457D-B4FD-C4C8E343A9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85724</xdr:colOff>
      <xdr:row>3</xdr:row>
      <xdr:rowOff>85725</xdr:rowOff>
    </xdr:from>
    <xdr:to>
      <xdr:col>20</xdr:col>
      <xdr:colOff>326516</xdr:colOff>
      <xdr:row>30</xdr:row>
      <xdr:rowOff>38101</xdr:rowOff>
    </xdr:to>
    <xdr:sp macro="" textlink="">
      <xdr:nvSpPr>
        <xdr:cNvPr id="54" name="Rectangle 53">
          <a:extLst>
            <a:ext uri="{FF2B5EF4-FFF2-40B4-BE49-F238E27FC236}">
              <a16:creationId xmlns:a16="http://schemas.microsoft.com/office/drawing/2014/main" id="{799B95A4-969E-446D-8BBA-FE71FB3CDD3C}"/>
            </a:ext>
          </a:extLst>
        </xdr:cNvPr>
        <xdr:cNvSpPr/>
      </xdr:nvSpPr>
      <xdr:spPr>
        <a:xfrm>
          <a:off x="9839324" y="657225"/>
          <a:ext cx="2679192" cy="5095876"/>
        </a:xfrm>
        <a:prstGeom prst="rect">
          <a:avLst/>
        </a:prstGeom>
        <a:solidFill>
          <a:schemeClr val="bg1"/>
        </a:solidFill>
        <a:ln>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285750</xdr:colOff>
      <xdr:row>18</xdr:row>
      <xdr:rowOff>57150</xdr:rowOff>
    </xdr:from>
    <xdr:to>
      <xdr:col>6</xdr:col>
      <xdr:colOff>504825</xdr:colOff>
      <xdr:row>29</xdr:row>
      <xdr:rowOff>9525</xdr:rowOff>
    </xdr:to>
    <xdr:graphicFrame macro="">
      <xdr:nvGraphicFramePr>
        <xdr:cNvPr id="55" name="Chart 54">
          <a:extLst>
            <a:ext uri="{FF2B5EF4-FFF2-40B4-BE49-F238E27FC236}">
              <a16:creationId xmlns:a16="http://schemas.microsoft.com/office/drawing/2014/main" id="{2C555A2D-7849-4CB4-813D-3E14E84F70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270063</xdr:colOff>
      <xdr:row>17</xdr:row>
      <xdr:rowOff>80772</xdr:rowOff>
    </xdr:from>
    <xdr:to>
      <xdr:col>5</xdr:col>
      <xdr:colOff>593151</xdr:colOff>
      <xdr:row>18</xdr:row>
      <xdr:rowOff>109728</xdr:rowOff>
    </xdr:to>
    <xdr:sp macro="" textlink="">
      <xdr:nvSpPr>
        <xdr:cNvPr id="56" name="Rectangle: Rounded Corners 55">
          <a:extLst>
            <a:ext uri="{FF2B5EF4-FFF2-40B4-BE49-F238E27FC236}">
              <a16:creationId xmlns:a16="http://schemas.microsoft.com/office/drawing/2014/main" id="{BA4F29DC-3F8E-48C7-806E-F9BE5E456C39}"/>
            </a:ext>
          </a:extLst>
        </xdr:cNvPr>
        <xdr:cNvSpPr/>
      </xdr:nvSpPr>
      <xdr:spPr>
        <a:xfrm>
          <a:off x="2708463" y="3319272"/>
          <a:ext cx="932688" cy="219456"/>
        </a:xfrm>
        <a:prstGeom prst="roundRect">
          <a:avLst>
            <a:gd name="adj" fmla="val 15873"/>
          </a:avLst>
        </a:prstGeom>
        <a:solidFill>
          <a:srgbClr val="006600"/>
        </a:soli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a:solidFill>
                <a:schemeClr val="lt1"/>
              </a:solidFill>
              <a:latin typeface="+mn-lt"/>
              <a:ea typeface="+mn-ea"/>
              <a:cs typeface="+mn-cs"/>
            </a:rPr>
            <a:t>Water</a:t>
          </a:r>
        </a:p>
      </xdr:txBody>
    </xdr:sp>
    <xdr:clientData/>
  </xdr:twoCellAnchor>
  <xdr:twoCellAnchor>
    <xdr:from>
      <xdr:col>11</xdr:col>
      <xdr:colOff>523876</xdr:colOff>
      <xdr:row>21</xdr:row>
      <xdr:rowOff>48734</xdr:rowOff>
    </xdr:from>
    <xdr:to>
      <xdr:col>15</xdr:col>
      <xdr:colOff>552450</xdr:colOff>
      <xdr:row>29</xdr:row>
      <xdr:rowOff>170654</xdr:rowOff>
    </xdr:to>
    <xdr:graphicFrame macro="">
      <xdr:nvGraphicFramePr>
        <xdr:cNvPr id="59" name="Chart 58">
          <a:extLst>
            <a:ext uri="{FF2B5EF4-FFF2-40B4-BE49-F238E27FC236}">
              <a16:creationId xmlns:a16="http://schemas.microsoft.com/office/drawing/2014/main" id="{45D73961-6186-491D-80ED-1741BD6C98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349376</xdr:colOff>
      <xdr:row>3</xdr:row>
      <xdr:rowOff>0</xdr:rowOff>
    </xdr:from>
    <xdr:to>
      <xdr:col>19</xdr:col>
      <xdr:colOff>62864</xdr:colOff>
      <xdr:row>4</xdr:row>
      <xdr:rowOff>28956</xdr:rowOff>
    </xdr:to>
    <xdr:sp macro="" textlink="">
      <xdr:nvSpPr>
        <xdr:cNvPr id="60" name="Rectangle: Rounded Corners 59">
          <a:extLst>
            <a:ext uri="{FF2B5EF4-FFF2-40B4-BE49-F238E27FC236}">
              <a16:creationId xmlns:a16="http://schemas.microsoft.com/office/drawing/2014/main" id="{C8AE62E3-8FEE-453C-AE1B-57AB577A3824}"/>
            </a:ext>
          </a:extLst>
        </xdr:cNvPr>
        <xdr:cNvSpPr/>
      </xdr:nvSpPr>
      <xdr:spPr>
        <a:xfrm>
          <a:off x="10712576" y="571500"/>
          <a:ext cx="932688" cy="219456"/>
        </a:xfrm>
        <a:prstGeom prst="roundRect">
          <a:avLst>
            <a:gd name="adj" fmla="val 15873"/>
          </a:avLst>
        </a:prstGeom>
        <a:solidFill>
          <a:srgbClr val="006600"/>
        </a:soli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a:solidFill>
                <a:schemeClr val="lt1"/>
              </a:solidFill>
              <a:latin typeface="+mn-lt"/>
              <a:ea typeface="+mn-ea"/>
              <a:cs typeface="+mn-cs"/>
            </a:rPr>
            <a:t>Waste</a:t>
          </a:r>
        </a:p>
      </xdr:txBody>
    </xdr:sp>
    <xdr:clientData/>
  </xdr:twoCellAnchor>
  <xdr:twoCellAnchor>
    <xdr:from>
      <xdr:col>16</xdr:col>
      <xdr:colOff>161924</xdr:colOff>
      <xdr:row>4</xdr:row>
      <xdr:rowOff>95250</xdr:rowOff>
    </xdr:from>
    <xdr:to>
      <xdr:col>20</xdr:col>
      <xdr:colOff>190500</xdr:colOff>
      <xdr:row>15</xdr:row>
      <xdr:rowOff>95250</xdr:rowOff>
    </xdr:to>
    <xdr:graphicFrame macro="">
      <xdr:nvGraphicFramePr>
        <xdr:cNvPr id="61" name="Chart 60">
          <a:extLst>
            <a:ext uri="{FF2B5EF4-FFF2-40B4-BE49-F238E27FC236}">
              <a16:creationId xmlns:a16="http://schemas.microsoft.com/office/drawing/2014/main" id="{32CB0A6E-C253-4130-B052-F7D0D74424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200025</xdr:colOff>
      <xdr:row>15</xdr:row>
      <xdr:rowOff>142875</xdr:rowOff>
    </xdr:from>
    <xdr:to>
      <xdr:col>20</xdr:col>
      <xdr:colOff>123825</xdr:colOff>
      <xdr:row>27</xdr:row>
      <xdr:rowOff>133350</xdr:rowOff>
    </xdr:to>
    <xdr:graphicFrame macro="">
      <xdr:nvGraphicFramePr>
        <xdr:cNvPr id="63" name="Chart 62">
          <a:extLst>
            <a:ext uri="{FF2B5EF4-FFF2-40B4-BE49-F238E27FC236}">
              <a16:creationId xmlns:a16="http://schemas.microsoft.com/office/drawing/2014/main" id="{8A0A20BF-B807-427D-ABB2-43F04C40E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28575</xdr:colOff>
      <xdr:row>30</xdr:row>
      <xdr:rowOff>104774</xdr:rowOff>
    </xdr:from>
    <xdr:to>
      <xdr:col>20</xdr:col>
      <xdr:colOff>331674</xdr:colOff>
      <xdr:row>46</xdr:row>
      <xdr:rowOff>74294</xdr:rowOff>
    </xdr:to>
    <xdr:sp macro="" textlink="">
      <xdr:nvSpPr>
        <xdr:cNvPr id="64" name="Rectangle 63">
          <a:extLst>
            <a:ext uri="{FF2B5EF4-FFF2-40B4-BE49-F238E27FC236}">
              <a16:creationId xmlns:a16="http://schemas.microsoft.com/office/drawing/2014/main" id="{3632B7A0-21FD-B282-8BBC-8BEE4D0736A8}"/>
            </a:ext>
          </a:extLst>
        </xdr:cNvPr>
        <xdr:cNvSpPr/>
      </xdr:nvSpPr>
      <xdr:spPr>
        <a:xfrm>
          <a:off x="28575" y="5819774"/>
          <a:ext cx="12495099" cy="3017520"/>
        </a:xfrm>
        <a:prstGeom prst="rect">
          <a:avLst/>
        </a:prstGeom>
        <a:noFill/>
        <a:ln>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133351</xdr:colOff>
      <xdr:row>18</xdr:row>
      <xdr:rowOff>76200</xdr:rowOff>
    </xdr:from>
    <xdr:to>
      <xdr:col>3</xdr:col>
      <xdr:colOff>238125</xdr:colOff>
      <xdr:row>29</xdr:row>
      <xdr:rowOff>19050</xdr:rowOff>
    </xdr:to>
    <xdr:graphicFrame macro="">
      <xdr:nvGraphicFramePr>
        <xdr:cNvPr id="69" name="Chart 68">
          <a:extLst>
            <a:ext uri="{FF2B5EF4-FFF2-40B4-BE49-F238E27FC236}">
              <a16:creationId xmlns:a16="http://schemas.microsoft.com/office/drawing/2014/main" id="{0588B111-491A-408E-8528-12C4C25460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251013</xdr:colOff>
      <xdr:row>31</xdr:row>
      <xdr:rowOff>133159</xdr:rowOff>
    </xdr:from>
    <xdr:to>
      <xdr:col>3</xdr:col>
      <xdr:colOff>133351</xdr:colOff>
      <xdr:row>32</xdr:row>
      <xdr:rowOff>180975</xdr:rowOff>
    </xdr:to>
    <xdr:sp macro="" textlink="">
      <xdr:nvSpPr>
        <xdr:cNvPr id="65" name="Rectangle: Rounded Corners 64">
          <a:extLst>
            <a:ext uri="{FF2B5EF4-FFF2-40B4-BE49-F238E27FC236}">
              <a16:creationId xmlns:a16="http://schemas.microsoft.com/office/drawing/2014/main" id="{0271DD30-ECDA-4655-8B23-FDA7BEC09592}"/>
            </a:ext>
          </a:extLst>
        </xdr:cNvPr>
        <xdr:cNvSpPr/>
      </xdr:nvSpPr>
      <xdr:spPr>
        <a:xfrm>
          <a:off x="251013" y="6038659"/>
          <a:ext cx="1711138" cy="238316"/>
        </a:xfrm>
        <a:prstGeom prst="roundRect">
          <a:avLst>
            <a:gd name="adj" fmla="val 15873"/>
          </a:avLst>
        </a:prstGeom>
        <a:solidFill>
          <a:srgbClr val="CB003C"/>
        </a:soli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a:solidFill>
                <a:schemeClr val="lt1"/>
              </a:solidFill>
              <a:latin typeface="+mn-lt"/>
              <a:ea typeface="+mn-ea"/>
              <a:cs typeface="+mn-cs"/>
            </a:rPr>
            <a:t>        Required Run Rate</a:t>
          </a:r>
        </a:p>
      </xdr:txBody>
    </xdr:sp>
    <xdr:clientData/>
  </xdr:twoCellAnchor>
  <xdr:twoCellAnchor>
    <xdr:from>
      <xdr:col>0</xdr:col>
      <xdr:colOff>166688</xdr:colOff>
      <xdr:row>31</xdr:row>
      <xdr:rowOff>38100</xdr:rowOff>
    </xdr:from>
    <xdr:to>
      <xdr:col>0</xdr:col>
      <xdr:colOff>576263</xdr:colOff>
      <xdr:row>33</xdr:row>
      <xdr:rowOff>66675</xdr:rowOff>
    </xdr:to>
    <xdr:sp macro="" textlink="">
      <xdr:nvSpPr>
        <xdr:cNvPr id="66" name="Oval 65">
          <a:extLst>
            <a:ext uri="{FF2B5EF4-FFF2-40B4-BE49-F238E27FC236}">
              <a16:creationId xmlns:a16="http://schemas.microsoft.com/office/drawing/2014/main" id="{A48FD9E9-4448-4C4C-2DF9-CEC6D394ADFB}"/>
            </a:ext>
          </a:extLst>
        </xdr:cNvPr>
        <xdr:cNvSpPr/>
      </xdr:nvSpPr>
      <xdr:spPr>
        <a:xfrm>
          <a:off x="166688" y="5943600"/>
          <a:ext cx="409575" cy="409575"/>
        </a:xfrm>
        <a:prstGeom prst="ellipse">
          <a:avLst/>
        </a:prstGeom>
        <a:solidFill>
          <a:srgbClr val="CB003C"/>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233363</xdr:colOff>
      <xdr:row>31</xdr:row>
      <xdr:rowOff>104775</xdr:rowOff>
    </xdr:from>
    <xdr:to>
      <xdr:col>0</xdr:col>
      <xdr:colOff>509588</xdr:colOff>
      <xdr:row>33</xdr:row>
      <xdr:rowOff>0</xdr:rowOff>
    </xdr:to>
    <xdr:pic>
      <xdr:nvPicPr>
        <xdr:cNvPr id="71" name="Graphic 70" descr="Traffic light with solid fill">
          <a:extLst>
            <a:ext uri="{FF2B5EF4-FFF2-40B4-BE49-F238E27FC236}">
              <a16:creationId xmlns:a16="http://schemas.microsoft.com/office/drawing/2014/main" id="{3B2ECBC4-7A67-88E6-CF7B-362EA53BC506}"/>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33363" y="6010275"/>
          <a:ext cx="276225" cy="276225"/>
        </a:xfrm>
        <a:prstGeom prst="rect">
          <a:avLst/>
        </a:prstGeom>
      </xdr:spPr>
    </xdr:pic>
    <xdr:clientData/>
  </xdr:twoCellAnchor>
  <xdr:twoCellAnchor>
    <xdr:from>
      <xdr:col>5</xdr:col>
      <xdr:colOff>133351</xdr:colOff>
      <xdr:row>34</xdr:row>
      <xdr:rowOff>133350</xdr:rowOff>
    </xdr:from>
    <xdr:to>
      <xdr:col>7</xdr:col>
      <xdr:colOff>560071</xdr:colOff>
      <xdr:row>39</xdr:row>
      <xdr:rowOff>114300</xdr:rowOff>
    </xdr:to>
    <xdr:sp macro="" textlink="">
      <xdr:nvSpPr>
        <xdr:cNvPr id="74" name="Rectangle: Rounded Corners 73">
          <a:extLst>
            <a:ext uri="{FF2B5EF4-FFF2-40B4-BE49-F238E27FC236}">
              <a16:creationId xmlns:a16="http://schemas.microsoft.com/office/drawing/2014/main" id="{56EE8C2D-AE36-BB04-FE0B-784294961BE4}"/>
            </a:ext>
          </a:extLst>
        </xdr:cNvPr>
        <xdr:cNvSpPr/>
      </xdr:nvSpPr>
      <xdr:spPr>
        <a:xfrm>
          <a:off x="3181351" y="6610350"/>
          <a:ext cx="1645920" cy="933450"/>
        </a:xfrm>
        <a:prstGeom prst="roundRect">
          <a:avLst>
            <a:gd name="adj" fmla="val 0"/>
          </a:avLst>
        </a:prstGeom>
        <a:solidFill>
          <a:schemeClr val="bg1">
            <a:lumMod val="95000"/>
          </a:schemeClr>
        </a:soli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 </a:t>
          </a:r>
        </a:p>
      </xdr:txBody>
    </xdr:sp>
    <xdr:clientData/>
  </xdr:twoCellAnchor>
  <xdr:twoCellAnchor>
    <xdr:from>
      <xdr:col>5</xdr:col>
      <xdr:colOff>314326</xdr:colOff>
      <xdr:row>33</xdr:row>
      <xdr:rowOff>171450</xdr:rowOff>
    </xdr:from>
    <xdr:to>
      <xdr:col>7</xdr:col>
      <xdr:colOff>333376</xdr:colOff>
      <xdr:row>35</xdr:row>
      <xdr:rowOff>19431</xdr:rowOff>
    </xdr:to>
    <xdr:sp macro="" textlink="">
      <xdr:nvSpPr>
        <xdr:cNvPr id="73" name="Rectangle: Rounded Corners 72">
          <a:extLst>
            <a:ext uri="{FF2B5EF4-FFF2-40B4-BE49-F238E27FC236}">
              <a16:creationId xmlns:a16="http://schemas.microsoft.com/office/drawing/2014/main" id="{422CBA42-76A2-4A46-AD15-76DF4D80475E}"/>
            </a:ext>
          </a:extLst>
        </xdr:cNvPr>
        <xdr:cNvSpPr/>
      </xdr:nvSpPr>
      <xdr:spPr>
        <a:xfrm>
          <a:off x="3362326" y="6457950"/>
          <a:ext cx="1238250" cy="228981"/>
        </a:xfrm>
        <a:prstGeom prst="roundRect">
          <a:avLst>
            <a:gd name="adj" fmla="val 37521"/>
          </a:avLst>
        </a:prstGeom>
        <a:solidFill>
          <a:srgbClr val="006600"/>
        </a:solidFill>
        <a:ln w="381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a:solidFill>
                <a:schemeClr val="lt1"/>
              </a:solidFill>
              <a:latin typeface="+mn-lt"/>
              <a:ea typeface="+mn-ea"/>
              <a:cs typeface="+mn-cs"/>
            </a:rPr>
            <a:t>Electricity</a:t>
          </a:r>
        </a:p>
      </xdr:txBody>
    </xdr:sp>
    <xdr:clientData/>
  </xdr:twoCellAnchor>
  <xdr:twoCellAnchor>
    <xdr:from>
      <xdr:col>0</xdr:col>
      <xdr:colOff>76199</xdr:colOff>
      <xdr:row>3</xdr:row>
      <xdr:rowOff>85725</xdr:rowOff>
    </xdr:from>
    <xdr:to>
      <xdr:col>1</xdr:col>
      <xdr:colOff>561974</xdr:colOff>
      <xdr:row>6</xdr:row>
      <xdr:rowOff>161925</xdr:rowOff>
    </xdr:to>
    <xdr:sp macro="" textlink="RRR!A20">
      <xdr:nvSpPr>
        <xdr:cNvPr id="87" name="Arrow: Striped Right 86">
          <a:extLst>
            <a:ext uri="{FF2B5EF4-FFF2-40B4-BE49-F238E27FC236}">
              <a16:creationId xmlns:a16="http://schemas.microsoft.com/office/drawing/2014/main" id="{7E157CDD-3C20-E6F9-9EF2-278A1C705290}"/>
            </a:ext>
          </a:extLst>
        </xdr:cNvPr>
        <xdr:cNvSpPr/>
      </xdr:nvSpPr>
      <xdr:spPr>
        <a:xfrm>
          <a:off x="76199" y="657225"/>
          <a:ext cx="1095375" cy="647700"/>
        </a:xfrm>
        <a:prstGeom prst="stripedRightArrow">
          <a:avLst/>
        </a:prstGeom>
        <a:solidFill>
          <a:srgbClr val="00B05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373560C-1F84-4DEA-A7B5-93C6B87A884D}" type="TxLink">
            <a:rPr lang="en-US" sz="900" b="0" i="0" u="none" strike="noStrike">
              <a:solidFill>
                <a:schemeClr val="bg1"/>
              </a:solidFill>
              <a:latin typeface="Calibri"/>
              <a:cs typeface="Calibri"/>
            </a:rPr>
            <a:pPr algn="ctr"/>
            <a:t>YTD January'24</a:t>
          </a:fld>
          <a:endParaRPr lang="en-US" sz="900">
            <a:solidFill>
              <a:schemeClr val="bg1"/>
            </a:solidFill>
          </a:endParaRPr>
        </a:p>
      </xdr:txBody>
    </xdr:sp>
    <xdr:clientData/>
  </xdr:twoCellAnchor>
  <xdr:twoCellAnchor>
    <xdr:from>
      <xdr:col>3</xdr:col>
      <xdr:colOff>209550</xdr:colOff>
      <xdr:row>30</xdr:row>
      <xdr:rowOff>114300</xdr:rowOff>
    </xdr:from>
    <xdr:to>
      <xdr:col>5</xdr:col>
      <xdr:colOff>247650</xdr:colOff>
      <xdr:row>34</xdr:row>
      <xdr:rowOff>0</xdr:rowOff>
    </xdr:to>
    <xdr:sp macro="" textlink="RRR!A20">
      <xdr:nvSpPr>
        <xdr:cNvPr id="89" name="Arrow: Striped Right 88">
          <a:extLst>
            <a:ext uri="{FF2B5EF4-FFF2-40B4-BE49-F238E27FC236}">
              <a16:creationId xmlns:a16="http://schemas.microsoft.com/office/drawing/2014/main" id="{8A64380B-C06C-4F8C-ACDB-8BC306E8CA08}"/>
            </a:ext>
          </a:extLst>
        </xdr:cNvPr>
        <xdr:cNvSpPr/>
      </xdr:nvSpPr>
      <xdr:spPr>
        <a:xfrm>
          <a:off x="2038350" y="5829300"/>
          <a:ext cx="1257300" cy="647700"/>
        </a:xfrm>
        <a:prstGeom prst="stripedRightArrow">
          <a:avLst/>
        </a:prstGeom>
        <a:solidFill>
          <a:srgbClr val="00B05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373560C-1F84-4DEA-A7B5-93C6B87A884D}" type="TxLink">
            <a:rPr lang="en-US" sz="900" b="0" i="0" u="none" strike="noStrike">
              <a:solidFill>
                <a:schemeClr val="bg1"/>
              </a:solidFill>
              <a:latin typeface="Calibri"/>
              <a:cs typeface="Calibri"/>
            </a:rPr>
            <a:pPr algn="ctr"/>
            <a:t>YTD January'24</a:t>
          </a:fld>
          <a:endParaRPr lang="en-US" sz="900">
            <a:solidFill>
              <a:schemeClr val="bg1"/>
            </a:solidFill>
          </a:endParaRPr>
        </a:p>
      </xdr:txBody>
    </xdr:sp>
    <xdr:clientData/>
  </xdr:twoCellAnchor>
  <xdr:twoCellAnchor>
    <xdr:from>
      <xdr:col>0</xdr:col>
      <xdr:colOff>295275</xdr:colOff>
      <xdr:row>34</xdr:row>
      <xdr:rowOff>133350</xdr:rowOff>
    </xdr:from>
    <xdr:to>
      <xdr:col>4</xdr:col>
      <xdr:colOff>51435</xdr:colOff>
      <xdr:row>36</xdr:row>
      <xdr:rowOff>28576</xdr:rowOff>
    </xdr:to>
    <xdr:sp macro="" textlink="RRR!H13">
      <xdr:nvSpPr>
        <xdr:cNvPr id="91" name="Rectangle: Folded Corner 90">
          <a:extLst>
            <a:ext uri="{FF2B5EF4-FFF2-40B4-BE49-F238E27FC236}">
              <a16:creationId xmlns:a16="http://schemas.microsoft.com/office/drawing/2014/main" id="{7C716068-A962-B55A-44BD-A56FCFC49942}"/>
            </a:ext>
          </a:extLst>
        </xdr:cNvPr>
        <xdr:cNvSpPr/>
      </xdr:nvSpPr>
      <xdr:spPr>
        <a:xfrm>
          <a:off x="295275" y="6610350"/>
          <a:ext cx="2194560" cy="276226"/>
        </a:xfrm>
        <a:prstGeom prst="foldedCorner">
          <a:avLst>
            <a:gd name="adj" fmla="val 26667"/>
          </a:avLst>
        </a:prstGeom>
        <a:solidFill>
          <a:schemeClr val="accent5">
            <a:lumMod val="5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7A8828B-647D-4AB9-BB38-8E76DEBEE50D}" type="TxLink">
            <a:rPr lang="en-US" sz="1100" b="0" i="0" u="none" strike="noStrike">
              <a:solidFill>
                <a:schemeClr val="bg1"/>
              </a:solidFill>
              <a:latin typeface="Calibri"/>
              <a:cs typeface="Calibri"/>
            </a:rPr>
            <a:pPr algn="l"/>
            <a:t>YTD Production</a:t>
          </a:fld>
          <a:endParaRPr lang="en-US" sz="1100">
            <a:solidFill>
              <a:schemeClr val="bg1"/>
            </a:solidFill>
          </a:endParaRPr>
        </a:p>
      </xdr:txBody>
    </xdr:sp>
    <xdr:clientData/>
  </xdr:twoCellAnchor>
  <xdr:twoCellAnchor>
    <xdr:from>
      <xdr:col>2</xdr:col>
      <xdr:colOff>133351</xdr:colOff>
      <xdr:row>34</xdr:row>
      <xdr:rowOff>142875</xdr:rowOff>
    </xdr:from>
    <xdr:to>
      <xdr:col>3</xdr:col>
      <xdr:colOff>514351</xdr:colOff>
      <xdr:row>36</xdr:row>
      <xdr:rowOff>36195</xdr:rowOff>
    </xdr:to>
    <xdr:sp macro="" textlink="">
      <xdr:nvSpPr>
        <xdr:cNvPr id="5" name="Rectangle 4">
          <a:extLst>
            <a:ext uri="{FF2B5EF4-FFF2-40B4-BE49-F238E27FC236}">
              <a16:creationId xmlns:a16="http://schemas.microsoft.com/office/drawing/2014/main" id="{8C4140A1-5687-0A51-53AB-99368A022D52}"/>
            </a:ext>
          </a:extLst>
        </xdr:cNvPr>
        <xdr:cNvSpPr/>
      </xdr:nvSpPr>
      <xdr:spPr>
        <a:xfrm>
          <a:off x="1352551" y="6619875"/>
          <a:ext cx="990600" cy="274320"/>
        </a:xfrm>
        <a:prstGeom prst="rect">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xdr:from>
      <xdr:col>2</xdr:col>
      <xdr:colOff>152400</xdr:colOff>
      <xdr:row>34</xdr:row>
      <xdr:rowOff>152401</xdr:rowOff>
    </xdr:from>
    <xdr:to>
      <xdr:col>3</xdr:col>
      <xdr:colOff>247650</xdr:colOff>
      <xdr:row>36</xdr:row>
      <xdr:rowOff>28575</xdr:rowOff>
    </xdr:to>
    <xdr:sp macro="" textlink="RRR!D16">
      <xdr:nvSpPr>
        <xdr:cNvPr id="18" name="Rectangle: Rounded Corners 17">
          <a:extLst>
            <a:ext uri="{FF2B5EF4-FFF2-40B4-BE49-F238E27FC236}">
              <a16:creationId xmlns:a16="http://schemas.microsoft.com/office/drawing/2014/main" id="{44E76718-929C-89CA-1887-83A862E6DF27}"/>
            </a:ext>
          </a:extLst>
        </xdr:cNvPr>
        <xdr:cNvSpPr/>
      </xdr:nvSpPr>
      <xdr:spPr>
        <a:xfrm>
          <a:off x="1371600" y="6629401"/>
          <a:ext cx="704850" cy="25717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192229D-89B5-4642-94C8-2D07656C4E8A}" type="TxLink">
            <a:rPr lang="en-US" sz="1100" b="0" i="0" u="none" strike="noStrike">
              <a:solidFill>
                <a:schemeClr val="tx1"/>
              </a:solidFill>
              <a:latin typeface="Calibri"/>
              <a:cs typeface="Calibri"/>
            </a:rPr>
            <a:pPr algn="ctr"/>
            <a:t> 167,056 </a:t>
          </a:fld>
          <a:endParaRPr lang="en-US" sz="1100">
            <a:solidFill>
              <a:schemeClr val="tx1"/>
            </a:solidFill>
          </a:endParaRPr>
        </a:p>
      </xdr:txBody>
    </xdr:sp>
    <xdr:clientData/>
  </xdr:twoCellAnchor>
  <xdr:twoCellAnchor>
    <xdr:from>
      <xdr:col>3</xdr:col>
      <xdr:colOff>142875</xdr:colOff>
      <xdr:row>34</xdr:row>
      <xdr:rowOff>152400</xdr:rowOff>
    </xdr:from>
    <xdr:to>
      <xdr:col>3</xdr:col>
      <xdr:colOff>533400</xdr:colOff>
      <xdr:row>36</xdr:row>
      <xdr:rowOff>28575</xdr:rowOff>
    </xdr:to>
    <xdr:sp macro="" textlink="">
      <xdr:nvSpPr>
        <xdr:cNvPr id="37" name="Rectangle: Rounded Corners 36">
          <a:extLst>
            <a:ext uri="{FF2B5EF4-FFF2-40B4-BE49-F238E27FC236}">
              <a16:creationId xmlns:a16="http://schemas.microsoft.com/office/drawing/2014/main" id="{1F5B433C-E123-4ED3-AD82-AD2A9C778E76}"/>
            </a:ext>
          </a:extLst>
        </xdr:cNvPr>
        <xdr:cNvSpPr/>
      </xdr:nvSpPr>
      <xdr:spPr>
        <a:xfrm>
          <a:off x="1971675" y="6629400"/>
          <a:ext cx="390525" cy="25717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DP</a:t>
          </a:r>
        </a:p>
      </xdr:txBody>
    </xdr:sp>
    <xdr:clientData/>
  </xdr:twoCellAnchor>
  <xdr:twoCellAnchor>
    <xdr:from>
      <xdr:col>2</xdr:col>
      <xdr:colOff>114300</xdr:colOff>
      <xdr:row>36</xdr:row>
      <xdr:rowOff>142876</xdr:rowOff>
    </xdr:from>
    <xdr:to>
      <xdr:col>3</xdr:col>
      <xdr:colOff>323850</xdr:colOff>
      <xdr:row>38</xdr:row>
      <xdr:rowOff>19050</xdr:rowOff>
    </xdr:to>
    <xdr:sp macro="" textlink="RRR!D20">
      <xdr:nvSpPr>
        <xdr:cNvPr id="39" name="Rectangle: Rounded Corners 38">
          <a:extLst>
            <a:ext uri="{FF2B5EF4-FFF2-40B4-BE49-F238E27FC236}">
              <a16:creationId xmlns:a16="http://schemas.microsoft.com/office/drawing/2014/main" id="{19F0C654-89FA-4DBA-B903-01A7F18E9D4E}"/>
            </a:ext>
          </a:extLst>
        </xdr:cNvPr>
        <xdr:cNvSpPr/>
      </xdr:nvSpPr>
      <xdr:spPr>
        <a:xfrm>
          <a:off x="1333500" y="7000876"/>
          <a:ext cx="819150" cy="25717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5AD3792-6AC5-4E78-BC0D-9DC73D59212E}" type="TxLink">
            <a:rPr lang="en-US" sz="1100" b="0" i="0" u="none" strike="noStrike">
              <a:solidFill>
                <a:srgbClr val="000000"/>
              </a:solidFill>
              <a:latin typeface="Calibri"/>
              <a:cs typeface="Calibri"/>
            </a:rPr>
            <a:pPr algn="ctr"/>
            <a:t> 2,579,958 </a:t>
          </a:fld>
          <a:endParaRPr lang="en-US" sz="1100">
            <a:solidFill>
              <a:schemeClr val="tx1"/>
            </a:solidFill>
          </a:endParaRPr>
        </a:p>
      </xdr:txBody>
    </xdr:sp>
    <xdr:clientData/>
  </xdr:twoCellAnchor>
  <xdr:twoCellAnchor>
    <xdr:from>
      <xdr:col>3</xdr:col>
      <xdr:colOff>142875</xdr:colOff>
      <xdr:row>36</xdr:row>
      <xdr:rowOff>142875</xdr:rowOff>
    </xdr:from>
    <xdr:to>
      <xdr:col>3</xdr:col>
      <xdr:colOff>533400</xdr:colOff>
      <xdr:row>38</xdr:row>
      <xdr:rowOff>19050</xdr:rowOff>
    </xdr:to>
    <xdr:sp macro="" textlink="">
      <xdr:nvSpPr>
        <xdr:cNvPr id="40" name="Rectangle: Rounded Corners 39">
          <a:extLst>
            <a:ext uri="{FF2B5EF4-FFF2-40B4-BE49-F238E27FC236}">
              <a16:creationId xmlns:a16="http://schemas.microsoft.com/office/drawing/2014/main" id="{AC0FCAD3-3F95-4029-9910-49890D0C0512}"/>
            </a:ext>
          </a:extLst>
        </xdr:cNvPr>
        <xdr:cNvSpPr/>
      </xdr:nvSpPr>
      <xdr:spPr>
        <a:xfrm>
          <a:off x="1971675" y="7000875"/>
          <a:ext cx="390525" cy="25717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DP</a:t>
          </a:r>
        </a:p>
      </xdr:txBody>
    </xdr:sp>
    <xdr:clientData/>
  </xdr:twoCellAnchor>
  <xdr:twoCellAnchor>
    <xdr:from>
      <xdr:col>16</xdr:col>
      <xdr:colOff>542926</xdr:colOff>
      <xdr:row>40</xdr:row>
      <xdr:rowOff>57150</xdr:rowOff>
    </xdr:from>
    <xdr:to>
      <xdr:col>20</xdr:col>
      <xdr:colOff>295275</xdr:colOff>
      <xdr:row>46</xdr:row>
      <xdr:rowOff>9524</xdr:rowOff>
    </xdr:to>
    <xdr:sp macro="" textlink="">
      <xdr:nvSpPr>
        <xdr:cNvPr id="57" name="Scroll: Vertical 56">
          <a:extLst>
            <a:ext uri="{FF2B5EF4-FFF2-40B4-BE49-F238E27FC236}">
              <a16:creationId xmlns:a16="http://schemas.microsoft.com/office/drawing/2014/main" id="{034CD1F8-84C1-886A-2458-E872579AEF43}"/>
            </a:ext>
          </a:extLst>
        </xdr:cNvPr>
        <xdr:cNvSpPr/>
      </xdr:nvSpPr>
      <xdr:spPr>
        <a:xfrm>
          <a:off x="10296526" y="7677150"/>
          <a:ext cx="2190749" cy="109537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solidFill>
                <a:schemeClr val="bg1">
                  <a:lumMod val="75000"/>
                </a:schemeClr>
              </a:solidFill>
            </a:rPr>
            <a:t>YTD= Year to date</a:t>
          </a:r>
        </a:p>
        <a:p>
          <a:pPr algn="l"/>
          <a:r>
            <a:rPr lang="en-US" sz="800">
              <a:solidFill>
                <a:schemeClr val="bg1">
                  <a:lumMod val="75000"/>
                </a:schemeClr>
              </a:solidFill>
            </a:rPr>
            <a:t>YTG= Year to go</a:t>
          </a:r>
        </a:p>
        <a:p>
          <a:pPr algn="l"/>
          <a:r>
            <a:rPr lang="en-US" sz="800">
              <a:solidFill>
                <a:schemeClr val="bg1">
                  <a:lumMod val="75000"/>
                </a:schemeClr>
              </a:solidFill>
            </a:rPr>
            <a:t>RRR= Require run rate</a:t>
          </a:r>
        </a:p>
        <a:p>
          <a:pPr algn="l"/>
          <a:r>
            <a:rPr lang="en-US" sz="800">
              <a:solidFill>
                <a:schemeClr val="bg1">
                  <a:lumMod val="75000"/>
                </a:schemeClr>
              </a:solidFill>
            </a:rPr>
            <a:t>CRR= Current run rate</a:t>
          </a:r>
        </a:p>
        <a:p>
          <a:pPr algn="l"/>
          <a:r>
            <a:rPr lang="en-US" sz="800">
              <a:solidFill>
                <a:schemeClr val="bg1">
                  <a:lumMod val="75000"/>
                </a:schemeClr>
              </a:solidFill>
            </a:rPr>
            <a:t>KWH= </a:t>
          </a:r>
          <a:r>
            <a:rPr lang="en-US" sz="800" b="0" i="0">
              <a:solidFill>
                <a:schemeClr val="bg1">
                  <a:lumMod val="75000"/>
                </a:schemeClr>
              </a:solidFill>
              <a:effectLst/>
              <a:latin typeface="+mn-lt"/>
              <a:ea typeface="+mn-ea"/>
              <a:cs typeface="+mn-cs"/>
            </a:rPr>
            <a:t>kilowatt hour</a:t>
          </a:r>
        </a:p>
        <a:p>
          <a:pPr algn="l"/>
          <a:r>
            <a:rPr lang="en-US" sz="800" b="0" i="0">
              <a:solidFill>
                <a:schemeClr val="bg1">
                  <a:lumMod val="75000"/>
                </a:schemeClr>
              </a:solidFill>
              <a:effectLst/>
              <a:latin typeface="+mn-lt"/>
              <a:ea typeface="+mn-ea"/>
              <a:cs typeface="+mn-cs"/>
            </a:rPr>
            <a:t>MMBTU= Metric Million British Thermal Unit</a:t>
          </a:r>
        </a:p>
        <a:p>
          <a:pPr algn="l"/>
          <a:r>
            <a:rPr lang="en-US" sz="800" b="0" i="0">
              <a:solidFill>
                <a:schemeClr val="bg1">
                  <a:lumMod val="75000"/>
                </a:schemeClr>
              </a:solidFill>
              <a:effectLst/>
              <a:latin typeface="+mn-lt"/>
              <a:ea typeface="+mn-ea"/>
              <a:cs typeface="+mn-cs"/>
            </a:rPr>
            <a:t>DP= Dozen pair</a:t>
          </a:r>
        </a:p>
        <a:p>
          <a:pPr algn="l"/>
          <a:endParaRPr lang="en-US" sz="800">
            <a:solidFill>
              <a:schemeClr val="bg1">
                <a:lumMod val="75000"/>
              </a:schemeClr>
            </a:solidFill>
          </a:endParaRPr>
        </a:p>
      </xdr:txBody>
    </xdr:sp>
    <xdr:clientData/>
  </xdr:twoCellAnchor>
  <xdr:twoCellAnchor>
    <xdr:from>
      <xdr:col>5</xdr:col>
      <xdr:colOff>176212</xdr:colOff>
      <xdr:row>35</xdr:row>
      <xdr:rowOff>95250</xdr:rowOff>
    </xdr:from>
    <xdr:to>
      <xdr:col>6</xdr:col>
      <xdr:colOff>435292</xdr:colOff>
      <xdr:row>36</xdr:row>
      <xdr:rowOff>47625</xdr:rowOff>
    </xdr:to>
    <xdr:sp macro="" textlink="RRR!H7">
      <xdr:nvSpPr>
        <xdr:cNvPr id="68" name="Rectangle 67">
          <a:extLst>
            <a:ext uri="{FF2B5EF4-FFF2-40B4-BE49-F238E27FC236}">
              <a16:creationId xmlns:a16="http://schemas.microsoft.com/office/drawing/2014/main" id="{CBA1CD12-36AC-764C-ECCC-63CB2612ADE7}"/>
            </a:ext>
          </a:extLst>
        </xdr:cNvPr>
        <xdr:cNvSpPr/>
      </xdr:nvSpPr>
      <xdr:spPr>
        <a:xfrm>
          <a:off x="3224212" y="6762750"/>
          <a:ext cx="868680" cy="142875"/>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E95E500-04D1-4C40-9B18-98D9EDA3A71F}" type="TxLink">
            <a:rPr lang="en-US" sz="800" b="1" i="0" u="none" strike="noStrike">
              <a:solidFill>
                <a:schemeClr val="tx1"/>
              </a:solidFill>
              <a:latin typeface="Calibri"/>
              <a:cs typeface="Calibri"/>
            </a:rPr>
            <a:pPr algn="ctr"/>
            <a:t>CRR (KWH/DP)</a:t>
          </a:fld>
          <a:endParaRPr lang="en-US" sz="800" b="1">
            <a:solidFill>
              <a:schemeClr val="tx1"/>
            </a:solidFill>
          </a:endParaRPr>
        </a:p>
      </xdr:txBody>
    </xdr:sp>
    <xdr:clientData/>
  </xdr:twoCellAnchor>
  <xdr:twoCellAnchor>
    <xdr:from>
      <xdr:col>5</xdr:col>
      <xdr:colOff>176212</xdr:colOff>
      <xdr:row>36</xdr:row>
      <xdr:rowOff>98425</xdr:rowOff>
    </xdr:from>
    <xdr:to>
      <xdr:col>6</xdr:col>
      <xdr:colOff>435292</xdr:colOff>
      <xdr:row>37</xdr:row>
      <xdr:rowOff>50800</xdr:rowOff>
    </xdr:to>
    <xdr:sp macro="" textlink="RRR!H8">
      <xdr:nvSpPr>
        <xdr:cNvPr id="70" name="Rectangle 69">
          <a:extLst>
            <a:ext uri="{FF2B5EF4-FFF2-40B4-BE49-F238E27FC236}">
              <a16:creationId xmlns:a16="http://schemas.microsoft.com/office/drawing/2014/main" id="{7B0ED2FD-8344-4574-A7CF-2637FEA2444F}"/>
            </a:ext>
          </a:extLst>
        </xdr:cNvPr>
        <xdr:cNvSpPr/>
      </xdr:nvSpPr>
      <xdr:spPr>
        <a:xfrm>
          <a:off x="3224212" y="6956425"/>
          <a:ext cx="868680" cy="142875"/>
        </a:xfrm>
        <a:prstGeom prst="rect">
          <a:avLst/>
        </a:prstGeom>
        <a:solidFill>
          <a:srgbClr val="FFF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09FD9E25-46B2-4A43-9EA6-E2364C2B2867}" type="TxLink">
            <a:rPr lang="en-US" sz="800" b="1" i="0" u="none" strike="noStrike">
              <a:solidFill>
                <a:schemeClr val="tx1"/>
              </a:solidFill>
              <a:latin typeface="Calibri"/>
              <a:ea typeface="+mn-ea"/>
              <a:cs typeface="Calibri"/>
            </a:rPr>
            <a:pPr marL="0" indent="0" algn="ctr"/>
            <a:t>RRR (KWH/DP)</a:t>
          </a:fld>
          <a:endParaRPr lang="en-US" sz="400" b="1" i="0" u="none" strike="noStrike">
            <a:solidFill>
              <a:schemeClr val="tx1"/>
            </a:solidFill>
            <a:latin typeface="Calibri"/>
            <a:ea typeface="+mn-ea"/>
            <a:cs typeface="Calibri"/>
          </a:endParaRPr>
        </a:p>
      </xdr:txBody>
    </xdr:sp>
    <xdr:clientData/>
  </xdr:twoCellAnchor>
  <xdr:twoCellAnchor>
    <xdr:from>
      <xdr:col>5</xdr:col>
      <xdr:colOff>176212</xdr:colOff>
      <xdr:row>37</xdr:row>
      <xdr:rowOff>101600</xdr:rowOff>
    </xdr:from>
    <xdr:to>
      <xdr:col>6</xdr:col>
      <xdr:colOff>435292</xdr:colOff>
      <xdr:row>38</xdr:row>
      <xdr:rowOff>53975</xdr:rowOff>
    </xdr:to>
    <xdr:sp macro="" textlink="RRR!H9">
      <xdr:nvSpPr>
        <xdr:cNvPr id="72" name="Rectangle 71">
          <a:extLst>
            <a:ext uri="{FF2B5EF4-FFF2-40B4-BE49-F238E27FC236}">
              <a16:creationId xmlns:a16="http://schemas.microsoft.com/office/drawing/2014/main" id="{4561B789-E71B-4D62-AF18-2C8EE93555D8}"/>
            </a:ext>
          </a:extLst>
        </xdr:cNvPr>
        <xdr:cNvSpPr/>
      </xdr:nvSpPr>
      <xdr:spPr>
        <a:xfrm>
          <a:off x="3224212" y="7150100"/>
          <a:ext cx="868680" cy="142875"/>
        </a:xfrm>
        <a:prstGeom prst="rect">
          <a:avLst/>
        </a:prstGeom>
        <a:solidFill>
          <a:srgbClr val="FFFF9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D28E7A56-643D-47C8-BA5B-A5F8BC22910E}" type="TxLink">
            <a:rPr lang="en-US" sz="800" b="1" i="0" u="none" strike="noStrike">
              <a:solidFill>
                <a:schemeClr val="tx1"/>
              </a:solidFill>
              <a:latin typeface="Calibri"/>
              <a:ea typeface="+mn-ea"/>
              <a:cs typeface="Calibri"/>
            </a:rPr>
            <a:pPr marL="0" indent="0" algn="ctr"/>
            <a:t>YTD KWH</a:t>
          </a:fld>
          <a:endParaRPr lang="en-US" sz="400" b="1" i="0" u="none" strike="noStrike">
            <a:solidFill>
              <a:schemeClr val="tx1"/>
            </a:solidFill>
            <a:latin typeface="Calibri"/>
            <a:ea typeface="+mn-ea"/>
            <a:cs typeface="Calibri"/>
          </a:endParaRPr>
        </a:p>
      </xdr:txBody>
    </xdr:sp>
    <xdr:clientData/>
  </xdr:twoCellAnchor>
  <xdr:twoCellAnchor>
    <xdr:from>
      <xdr:col>5</xdr:col>
      <xdr:colOff>176212</xdr:colOff>
      <xdr:row>38</xdr:row>
      <xdr:rowOff>104775</xdr:rowOff>
    </xdr:from>
    <xdr:to>
      <xdr:col>6</xdr:col>
      <xdr:colOff>435292</xdr:colOff>
      <xdr:row>39</xdr:row>
      <xdr:rowOff>57150</xdr:rowOff>
    </xdr:to>
    <xdr:sp macro="" textlink="RRR!H10">
      <xdr:nvSpPr>
        <xdr:cNvPr id="88" name="Rectangle 87">
          <a:extLst>
            <a:ext uri="{FF2B5EF4-FFF2-40B4-BE49-F238E27FC236}">
              <a16:creationId xmlns:a16="http://schemas.microsoft.com/office/drawing/2014/main" id="{0566E1F2-B094-446D-BAD7-AF3ECFC6A088}"/>
            </a:ext>
          </a:extLst>
        </xdr:cNvPr>
        <xdr:cNvSpPr/>
      </xdr:nvSpPr>
      <xdr:spPr>
        <a:xfrm>
          <a:off x="3224212" y="7343775"/>
          <a:ext cx="868680" cy="142875"/>
        </a:xfrm>
        <a:prstGeom prst="rect">
          <a:avLst/>
        </a:prstGeom>
        <a:solidFill>
          <a:srgbClr val="FFFF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A1325A07-533D-4157-9346-FD25012B116F}" type="TxLink">
            <a:rPr lang="en-US" sz="800" b="1" i="0" u="none" strike="noStrike">
              <a:solidFill>
                <a:schemeClr val="tx1"/>
              </a:solidFill>
              <a:latin typeface="Calibri"/>
              <a:ea typeface="+mn-ea"/>
              <a:cs typeface="Calibri"/>
            </a:rPr>
            <a:pPr marL="0" indent="0" algn="ctr"/>
            <a:t>YTG KWH</a:t>
          </a:fld>
          <a:endParaRPr lang="en-US" sz="400" b="1" i="0" u="none" strike="noStrike">
            <a:solidFill>
              <a:schemeClr val="tx1"/>
            </a:solidFill>
            <a:latin typeface="Calibri"/>
            <a:ea typeface="+mn-ea"/>
            <a:cs typeface="Calibri"/>
          </a:endParaRPr>
        </a:p>
      </xdr:txBody>
    </xdr:sp>
    <xdr:clientData/>
  </xdr:twoCellAnchor>
  <xdr:twoCellAnchor>
    <xdr:from>
      <xdr:col>6</xdr:col>
      <xdr:colOff>481012</xdr:colOff>
      <xdr:row>35</xdr:row>
      <xdr:rowOff>95250</xdr:rowOff>
    </xdr:from>
    <xdr:to>
      <xdr:col>7</xdr:col>
      <xdr:colOff>511492</xdr:colOff>
      <xdr:row>36</xdr:row>
      <xdr:rowOff>47625</xdr:rowOff>
    </xdr:to>
    <xdr:sp macro="" textlink="RRR!I7">
      <xdr:nvSpPr>
        <xdr:cNvPr id="90" name="Rectangle 89">
          <a:extLst>
            <a:ext uri="{FF2B5EF4-FFF2-40B4-BE49-F238E27FC236}">
              <a16:creationId xmlns:a16="http://schemas.microsoft.com/office/drawing/2014/main" id="{2B21D046-BEBA-4325-A19A-6E719F6A0C84}"/>
            </a:ext>
          </a:extLst>
        </xdr:cNvPr>
        <xdr:cNvSpPr/>
      </xdr:nvSpPr>
      <xdr:spPr>
        <a:xfrm>
          <a:off x="4138612" y="6762750"/>
          <a:ext cx="640080" cy="142875"/>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B9706F-B0D7-46FF-95EF-CA2A9AB6E25E}" type="TxLink">
            <a:rPr lang="en-US" sz="800" b="0" i="0" u="none" strike="noStrike">
              <a:solidFill>
                <a:schemeClr val="tx1"/>
              </a:solidFill>
              <a:latin typeface="Calibri"/>
              <a:cs typeface="Calibri"/>
            </a:rPr>
            <a:pPr algn="ctr"/>
            <a:t>1.463</a:t>
          </a:fld>
          <a:endParaRPr lang="en-US" sz="400" b="1">
            <a:solidFill>
              <a:schemeClr val="tx1"/>
            </a:solidFill>
          </a:endParaRPr>
        </a:p>
      </xdr:txBody>
    </xdr:sp>
    <xdr:clientData/>
  </xdr:twoCellAnchor>
  <xdr:twoCellAnchor>
    <xdr:from>
      <xdr:col>6</xdr:col>
      <xdr:colOff>481012</xdr:colOff>
      <xdr:row>36</xdr:row>
      <xdr:rowOff>98425</xdr:rowOff>
    </xdr:from>
    <xdr:to>
      <xdr:col>7</xdr:col>
      <xdr:colOff>511492</xdr:colOff>
      <xdr:row>37</xdr:row>
      <xdr:rowOff>50800</xdr:rowOff>
    </xdr:to>
    <xdr:sp macro="" textlink="RRR!I8">
      <xdr:nvSpPr>
        <xdr:cNvPr id="92" name="Rectangle 91">
          <a:extLst>
            <a:ext uri="{FF2B5EF4-FFF2-40B4-BE49-F238E27FC236}">
              <a16:creationId xmlns:a16="http://schemas.microsoft.com/office/drawing/2014/main" id="{1E658614-791C-4BB2-8DAD-DC274D1F6905}"/>
            </a:ext>
          </a:extLst>
        </xdr:cNvPr>
        <xdr:cNvSpPr/>
      </xdr:nvSpPr>
      <xdr:spPr>
        <a:xfrm>
          <a:off x="4138612" y="6956425"/>
          <a:ext cx="640080" cy="142875"/>
        </a:xfrm>
        <a:prstGeom prst="rect">
          <a:avLst/>
        </a:prstGeom>
        <a:solidFill>
          <a:srgbClr val="FFF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A6BBFE7-D7AF-4D1E-8148-452425EFA0CC}" type="TxLink">
            <a:rPr lang="en-US" sz="800" b="0" i="0" u="none" strike="noStrike">
              <a:solidFill>
                <a:schemeClr val="tx1"/>
              </a:solidFill>
              <a:latin typeface="Calibri"/>
              <a:cs typeface="Calibri"/>
            </a:rPr>
            <a:pPr algn="ctr"/>
            <a:t>1.447</a:t>
          </a:fld>
          <a:endParaRPr lang="en-US" sz="100" b="1">
            <a:solidFill>
              <a:schemeClr val="tx1"/>
            </a:solidFill>
          </a:endParaRPr>
        </a:p>
      </xdr:txBody>
    </xdr:sp>
    <xdr:clientData/>
  </xdr:twoCellAnchor>
  <xdr:twoCellAnchor>
    <xdr:from>
      <xdr:col>6</xdr:col>
      <xdr:colOff>481012</xdr:colOff>
      <xdr:row>37</xdr:row>
      <xdr:rowOff>101600</xdr:rowOff>
    </xdr:from>
    <xdr:to>
      <xdr:col>7</xdr:col>
      <xdr:colOff>511492</xdr:colOff>
      <xdr:row>38</xdr:row>
      <xdr:rowOff>53975</xdr:rowOff>
    </xdr:to>
    <xdr:sp macro="" textlink="RRR!I9">
      <xdr:nvSpPr>
        <xdr:cNvPr id="93" name="Rectangle 92">
          <a:extLst>
            <a:ext uri="{FF2B5EF4-FFF2-40B4-BE49-F238E27FC236}">
              <a16:creationId xmlns:a16="http://schemas.microsoft.com/office/drawing/2014/main" id="{C25403D4-6955-44E7-9EE0-8D14627B76AA}"/>
            </a:ext>
          </a:extLst>
        </xdr:cNvPr>
        <xdr:cNvSpPr/>
      </xdr:nvSpPr>
      <xdr:spPr>
        <a:xfrm>
          <a:off x="4138612" y="7150100"/>
          <a:ext cx="640080" cy="142875"/>
        </a:xfrm>
        <a:prstGeom prst="rect">
          <a:avLst/>
        </a:prstGeom>
        <a:solidFill>
          <a:srgbClr val="FFFF9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A9AF7AC-CA8B-49D8-BC48-0C444E0FECBB}" type="TxLink">
            <a:rPr lang="en-US" sz="800" b="0" i="0" u="none" strike="noStrike">
              <a:solidFill>
                <a:schemeClr val="tx1"/>
              </a:solidFill>
              <a:latin typeface="Calibri"/>
              <a:cs typeface="Calibri"/>
            </a:rPr>
            <a:pPr algn="ctr"/>
            <a:t> 244,355 </a:t>
          </a:fld>
          <a:endParaRPr lang="en-US" sz="100" b="1">
            <a:solidFill>
              <a:schemeClr val="tx1"/>
            </a:solidFill>
          </a:endParaRPr>
        </a:p>
      </xdr:txBody>
    </xdr:sp>
    <xdr:clientData/>
  </xdr:twoCellAnchor>
  <xdr:twoCellAnchor>
    <xdr:from>
      <xdr:col>6</xdr:col>
      <xdr:colOff>481012</xdr:colOff>
      <xdr:row>38</xdr:row>
      <xdr:rowOff>104775</xdr:rowOff>
    </xdr:from>
    <xdr:to>
      <xdr:col>7</xdr:col>
      <xdr:colOff>511492</xdr:colOff>
      <xdr:row>39</xdr:row>
      <xdr:rowOff>57150</xdr:rowOff>
    </xdr:to>
    <xdr:sp macro="" textlink="RRR!I10">
      <xdr:nvSpPr>
        <xdr:cNvPr id="94" name="Rectangle 93">
          <a:extLst>
            <a:ext uri="{FF2B5EF4-FFF2-40B4-BE49-F238E27FC236}">
              <a16:creationId xmlns:a16="http://schemas.microsoft.com/office/drawing/2014/main" id="{5D983DB5-83C1-4F21-A971-2C90E0A39B29}"/>
            </a:ext>
          </a:extLst>
        </xdr:cNvPr>
        <xdr:cNvSpPr/>
      </xdr:nvSpPr>
      <xdr:spPr>
        <a:xfrm>
          <a:off x="4138612" y="7343775"/>
          <a:ext cx="640080" cy="142875"/>
        </a:xfrm>
        <a:prstGeom prst="rect">
          <a:avLst/>
        </a:prstGeom>
        <a:solidFill>
          <a:srgbClr val="FFFF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B51B35D-746D-4139-90FA-94604D630548}" type="TxLink">
            <a:rPr lang="en-US" sz="800" b="0" i="0" u="none" strike="noStrike">
              <a:solidFill>
                <a:srgbClr val="000000"/>
              </a:solidFill>
              <a:latin typeface="Calibri"/>
              <a:cs typeface="Calibri"/>
            </a:rPr>
            <a:pPr algn="ctr"/>
            <a:t> 3,733,058 </a:t>
          </a:fld>
          <a:endParaRPr lang="en-US" sz="200" b="1">
            <a:solidFill>
              <a:schemeClr val="tx1"/>
            </a:solidFill>
          </a:endParaRPr>
        </a:p>
      </xdr:txBody>
    </xdr:sp>
    <xdr:clientData/>
  </xdr:twoCellAnchor>
  <xdr:twoCellAnchor>
    <xdr:from>
      <xdr:col>5</xdr:col>
      <xdr:colOff>133350</xdr:colOff>
      <xdr:row>40</xdr:row>
      <xdr:rowOff>171450</xdr:rowOff>
    </xdr:from>
    <xdr:to>
      <xdr:col>7</xdr:col>
      <xdr:colOff>560070</xdr:colOff>
      <xdr:row>45</xdr:row>
      <xdr:rowOff>152400</xdr:rowOff>
    </xdr:to>
    <xdr:sp macro="" textlink="">
      <xdr:nvSpPr>
        <xdr:cNvPr id="49" name="Rectangle: Rounded Corners 48">
          <a:extLst>
            <a:ext uri="{FF2B5EF4-FFF2-40B4-BE49-F238E27FC236}">
              <a16:creationId xmlns:a16="http://schemas.microsoft.com/office/drawing/2014/main" id="{A395D6A0-AC96-4C5C-B1CA-35EA5DF2A8B2}"/>
            </a:ext>
          </a:extLst>
        </xdr:cNvPr>
        <xdr:cNvSpPr/>
      </xdr:nvSpPr>
      <xdr:spPr>
        <a:xfrm>
          <a:off x="3181350" y="7791450"/>
          <a:ext cx="1645920" cy="933450"/>
        </a:xfrm>
        <a:prstGeom prst="roundRect">
          <a:avLst>
            <a:gd name="adj" fmla="val 0"/>
          </a:avLst>
        </a:prstGeom>
        <a:solidFill>
          <a:schemeClr val="bg1">
            <a:lumMod val="95000"/>
          </a:schemeClr>
        </a:soli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 </a:t>
          </a:r>
        </a:p>
      </xdr:txBody>
    </xdr:sp>
    <xdr:clientData/>
  </xdr:twoCellAnchor>
  <xdr:twoCellAnchor>
    <xdr:from>
      <xdr:col>5</xdr:col>
      <xdr:colOff>337185</xdr:colOff>
      <xdr:row>40</xdr:row>
      <xdr:rowOff>19050</xdr:rowOff>
    </xdr:from>
    <xdr:to>
      <xdr:col>7</xdr:col>
      <xdr:colOff>356235</xdr:colOff>
      <xdr:row>41</xdr:row>
      <xdr:rowOff>57531</xdr:rowOff>
    </xdr:to>
    <xdr:sp macro="" textlink="">
      <xdr:nvSpPr>
        <xdr:cNvPr id="58" name="Rectangle: Rounded Corners 57">
          <a:extLst>
            <a:ext uri="{FF2B5EF4-FFF2-40B4-BE49-F238E27FC236}">
              <a16:creationId xmlns:a16="http://schemas.microsoft.com/office/drawing/2014/main" id="{19A1D2C1-349D-4FC7-81A8-7D64284D174F}"/>
            </a:ext>
          </a:extLst>
        </xdr:cNvPr>
        <xdr:cNvSpPr/>
      </xdr:nvSpPr>
      <xdr:spPr>
        <a:xfrm>
          <a:off x="3385185" y="7639050"/>
          <a:ext cx="1238250" cy="228981"/>
        </a:xfrm>
        <a:prstGeom prst="roundRect">
          <a:avLst>
            <a:gd name="adj" fmla="val 37521"/>
          </a:avLst>
        </a:prstGeom>
        <a:solidFill>
          <a:srgbClr val="006600"/>
        </a:solidFill>
        <a:ln w="381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lt1"/>
              </a:solidFill>
              <a:effectLst/>
              <a:latin typeface="+mn-lt"/>
              <a:ea typeface="+mn-ea"/>
              <a:cs typeface="+mn-cs"/>
            </a:rPr>
            <a:t>Gas</a:t>
          </a:r>
        </a:p>
      </xdr:txBody>
    </xdr:sp>
    <xdr:clientData/>
  </xdr:twoCellAnchor>
  <xdr:twoCellAnchor>
    <xdr:from>
      <xdr:col>5</xdr:col>
      <xdr:colOff>176212</xdr:colOff>
      <xdr:row>41</xdr:row>
      <xdr:rowOff>123825</xdr:rowOff>
    </xdr:from>
    <xdr:to>
      <xdr:col>6</xdr:col>
      <xdr:colOff>572452</xdr:colOff>
      <xdr:row>42</xdr:row>
      <xdr:rowOff>76200</xdr:rowOff>
    </xdr:to>
    <xdr:sp macro="" textlink="RRR!H61">
      <xdr:nvSpPr>
        <xdr:cNvPr id="75" name="Rectangle 74">
          <a:extLst>
            <a:ext uri="{FF2B5EF4-FFF2-40B4-BE49-F238E27FC236}">
              <a16:creationId xmlns:a16="http://schemas.microsoft.com/office/drawing/2014/main" id="{7D2DCA84-60BB-4C7E-8E0C-9E3DAC2BBAB0}"/>
            </a:ext>
          </a:extLst>
        </xdr:cNvPr>
        <xdr:cNvSpPr/>
      </xdr:nvSpPr>
      <xdr:spPr>
        <a:xfrm>
          <a:off x="3224212" y="7934325"/>
          <a:ext cx="1005840" cy="142875"/>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83C32D4-F9FA-47F5-BB09-BE2A9E416D2D}" type="TxLink">
            <a:rPr lang="en-US" sz="800" b="1" i="0" u="none" strike="noStrike">
              <a:solidFill>
                <a:schemeClr val="tx1"/>
              </a:solidFill>
              <a:latin typeface="Calibri"/>
              <a:ea typeface="+mn-ea"/>
              <a:cs typeface="Calibri"/>
            </a:rPr>
            <a:pPr marL="0" indent="0" algn="ctr"/>
            <a:t>CRR (MMBTU/DP)</a:t>
          </a:fld>
          <a:endParaRPr lang="en-US" sz="800" b="1" i="0" u="none" strike="noStrike">
            <a:solidFill>
              <a:schemeClr val="tx1"/>
            </a:solidFill>
            <a:latin typeface="Calibri"/>
            <a:ea typeface="+mn-ea"/>
            <a:cs typeface="Calibri"/>
          </a:endParaRPr>
        </a:p>
      </xdr:txBody>
    </xdr:sp>
    <xdr:clientData/>
  </xdr:twoCellAnchor>
  <xdr:twoCellAnchor>
    <xdr:from>
      <xdr:col>5</xdr:col>
      <xdr:colOff>176212</xdr:colOff>
      <xdr:row>42</xdr:row>
      <xdr:rowOff>127000</xdr:rowOff>
    </xdr:from>
    <xdr:to>
      <xdr:col>6</xdr:col>
      <xdr:colOff>572452</xdr:colOff>
      <xdr:row>43</xdr:row>
      <xdr:rowOff>79375</xdr:rowOff>
    </xdr:to>
    <xdr:sp macro="" textlink="RRR!H62">
      <xdr:nvSpPr>
        <xdr:cNvPr id="76" name="Rectangle 75">
          <a:extLst>
            <a:ext uri="{FF2B5EF4-FFF2-40B4-BE49-F238E27FC236}">
              <a16:creationId xmlns:a16="http://schemas.microsoft.com/office/drawing/2014/main" id="{7EA96B31-6789-4032-AC04-7D0264464912}"/>
            </a:ext>
          </a:extLst>
        </xdr:cNvPr>
        <xdr:cNvSpPr/>
      </xdr:nvSpPr>
      <xdr:spPr>
        <a:xfrm>
          <a:off x="3224212" y="8128000"/>
          <a:ext cx="1005840" cy="142875"/>
        </a:xfrm>
        <a:prstGeom prst="rect">
          <a:avLst/>
        </a:prstGeom>
        <a:solidFill>
          <a:srgbClr val="FFF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2E7C2742-BDAB-4EB2-AFF3-49C6A02F4C4A}" type="TxLink">
            <a:rPr lang="en-US" sz="800" b="1" i="0" u="none" strike="noStrike">
              <a:solidFill>
                <a:schemeClr val="tx1"/>
              </a:solidFill>
              <a:latin typeface="Calibri"/>
              <a:ea typeface="+mn-ea"/>
              <a:cs typeface="Calibri"/>
            </a:rPr>
            <a:pPr marL="0" indent="0" algn="ctr"/>
            <a:t>RRR (MMBTU/DP)</a:t>
          </a:fld>
          <a:endParaRPr lang="en-US" sz="800" b="1" i="0" u="none" strike="noStrike">
            <a:solidFill>
              <a:schemeClr val="tx1"/>
            </a:solidFill>
            <a:latin typeface="Calibri"/>
            <a:ea typeface="+mn-ea"/>
            <a:cs typeface="Calibri"/>
          </a:endParaRPr>
        </a:p>
      </xdr:txBody>
    </xdr:sp>
    <xdr:clientData/>
  </xdr:twoCellAnchor>
  <xdr:twoCellAnchor>
    <xdr:from>
      <xdr:col>5</xdr:col>
      <xdr:colOff>176212</xdr:colOff>
      <xdr:row>43</xdr:row>
      <xdr:rowOff>130175</xdr:rowOff>
    </xdr:from>
    <xdr:to>
      <xdr:col>6</xdr:col>
      <xdr:colOff>572452</xdr:colOff>
      <xdr:row>44</xdr:row>
      <xdr:rowOff>82550</xdr:rowOff>
    </xdr:to>
    <xdr:sp macro="" textlink="RRR!H63">
      <xdr:nvSpPr>
        <xdr:cNvPr id="77" name="Rectangle 76">
          <a:extLst>
            <a:ext uri="{FF2B5EF4-FFF2-40B4-BE49-F238E27FC236}">
              <a16:creationId xmlns:a16="http://schemas.microsoft.com/office/drawing/2014/main" id="{6282C570-E5A4-4285-A0B8-B19E276221FB}"/>
            </a:ext>
          </a:extLst>
        </xdr:cNvPr>
        <xdr:cNvSpPr/>
      </xdr:nvSpPr>
      <xdr:spPr>
        <a:xfrm>
          <a:off x="3224212" y="8321675"/>
          <a:ext cx="1005840" cy="142875"/>
        </a:xfrm>
        <a:prstGeom prst="rect">
          <a:avLst/>
        </a:prstGeom>
        <a:solidFill>
          <a:srgbClr val="FFFF9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F6726826-B5AC-4991-97EF-62DAFC1C739C}" type="TxLink">
            <a:rPr lang="en-US" sz="800" b="1" i="0" u="none" strike="noStrike">
              <a:solidFill>
                <a:schemeClr val="tx1"/>
              </a:solidFill>
              <a:latin typeface="Calibri"/>
              <a:ea typeface="+mn-ea"/>
              <a:cs typeface="Calibri"/>
            </a:rPr>
            <a:pPr marL="0" indent="0" algn="ctr"/>
            <a:t>YTD MMBTU</a:t>
          </a:fld>
          <a:endParaRPr lang="en-US" sz="800" b="1" i="0" u="none" strike="noStrike">
            <a:solidFill>
              <a:schemeClr val="tx1"/>
            </a:solidFill>
            <a:latin typeface="Calibri"/>
            <a:ea typeface="+mn-ea"/>
            <a:cs typeface="Calibri"/>
          </a:endParaRPr>
        </a:p>
      </xdr:txBody>
    </xdr:sp>
    <xdr:clientData/>
  </xdr:twoCellAnchor>
  <xdr:twoCellAnchor>
    <xdr:from>
      <xdr:col>5</xdr:col>
      <xdr:colOff>176212</xdr:colOff>
      <xdr:row>44</xdr:row>
      <xdr:rowOff>133350</xdr:rowOff>
    </xdr:from>
    <xdr:to>
      <xdr:col>6</xdr:col>
      <xdr:colOff>572452</xdr:colOff>
      <xdr:row>45</xdr:row>
      <xdr:rowOff>85725</xdr:rowOff>
    </xdr:to>
    <xdr:sp macro="" textlink="RRR!H64">
      <xdr:nvSpPr>
        <xdr:cNvPr id="78" name="Rectangle 77">
          <a:extLst>
            <a:ext uri="{FF2B5EF4-FFF2-40B4-BE49-F238E27FC236}">
              <a16:creationId xmlns:a16="http://schemas.microsoft.com/office/drawing/2014/main" id="{059AB988-0D37-4975-888F-814FEE64FA85}"/>
            </a:ext>
          </a:extLst>
        </xdr:cNvPr>
        <xdr:cNvSpPr/>
      </xdr:nvSpPr>
      <xdr:spPr>
        <a:xfrm>
          <a:off x="3224212" y="8515350"/>
          <a:ext cx="1005840" cy="142875"/>
        </a:xfrm>
        <a:prstGeom prst="rect">
          <a:avLst/>
        </a:prstGeom>
        <a:solidFill>
          <a:srgbClr val="FFFF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106C825A-7161-4F5A-A1C8-65AA489C8AB5}" type="TxLink">
            <a:rPr lang="en-US" sz="800" b="1" i="0" u="none" strike="noStrike">
              <a:solidFill>
                <a:schemeClr val="tx1"/>
              </a:solidFill>
              <a:latin typeface="Calibri"/>
              <a:ea typeface="+mn-ea"/>
              <a:cs typeface="Calibri"/>
            </a:rPr>
            <a:pPr marL="0" indent="0" algn="ctr"/>
            <a:t>YTG MMBTU</a:t>
          </a:fld>
          <a:endParaRPr lang="en-US" sz="800" b="1" i="0" u="none" strike="noStrike">
            <a:solidFill>
              <a:schemeClr val="tx1"/>
            </a:solidFill>
            <a:latin typeface="Calibri"/>
            <a:ea typeface="+mn-ea"/>
            <a:cs typeface="Calibri"/>
          </a:endParaRPr>
        </a:p>
      </xdr:txBody>
    </xdr:sp>
    <xdr:clientData/>
  </xdr:twoCellAnchor>
  <xdr:twoCellAnchor>
    <xdr:from>
      <xdr:col>6</xdr:col>
      <xdr:colOff>595312</xdr:colOff>
      <xdr:row>41</xdr:row>
      <xdr:rowOff>123825</xdr:rowOff>
    </xdr:from>
    <xdr:to>
      <xdr:col>7</xdr:col>
      <xdr:colOff>534352</xdr:colOff>
      <xdr:row>42</xdr:row>
      <xdr:rowOff>76200</xdr:rowOff>
    </xdr:to>
    <xdr:sp macro="" textlink="RRR!I61">
      <xdr:nvSpPr>
        <xdr:cNvPr id="115" name="Rectangle 114">
          <a:extLst>
            <a:ext uri="{FF2B5EF4-FFF2-40B4-BE49-F238E27FC236}">
              <a16:creationId xmlns:a16="http://schemas.microsoft.com/office/drawing/2014/main" id="{8D5770CE-6B33-41AB-94EA-029A41A27C53}"/>
            </a:ext>
          </a:extLst>
        </xdr:cNvPr>
        <xdr:cNvSpPr/>
      </xdr:nvSpPr>
      <xdr:spPr>
        <a:xfrm>
          <a:off x="4252912" y="7934325"/>
          <a:ext cx="548640" cy="142875"/>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096D70A-049C-493B-992E-474CB9E76818}" type="TxLink">
            <a:rPr lang="en-US" sz="800" b="0" i="0" u="none" strike="noStrike">
              <a:solidFill>
                <a:schemeClr val="tx1"/>
              </a:solidFill>
              <a:latin typeface="Calibri"/>
              <a:ea typeface="+mn-ea"/>
              <a:cs typeface="Calibri"/>
            </a:rPr>
            <a:pPr marL="0" indent="0" algn="ctr"/>
            <a:t>0.021</a:t>
          </a:fld>
          <a:endParaRPr lang="en-US" sz="800" b="0" i="0" u="none" strike="noStrike">
            <a:solidFill>
              <a:schemeClr val="tx1"/>
            </a:solidFill>
            <a:latin typeface="Calibri"/>
            <a:ea typeface="+mn-ea"/>
            <a:cs typeface="Calibri"/>
          </a:endParaRPr>
        </a:p>
      </xdr:txBody>
    </xdr:sp>
    <xdr:clientData/>
  </xdr:twoCellAnchor>
  <xdr:twoCellAnchor>
    <xdr:from>
      <xdr:col>6</xdr:col>
      <xdr:colOff>595312</xdr:colOff>
      <xdr:row>42</xdr:row>
      <xdr:rowOff>127000</xdr:rowOff>
    </xdr:from>
    <xdr:to>
      <xdr:col>7</xdr:col>
      <xdr:colOff>534352</xdr:colOff>
      <xdr:row>43</xdr:row>
      <xdr:rowOff>79375</xdr:rowOff>
    </xdr:to>
    <xdr:sp macro="" textlink="RRR!I62">
      <xdr:nvSpPr>
        <xdr:cNvPr id="116" name="Rectangle 115">
          <a:extLst>
            <a:ext uri="{FF2B5EF4-FFF2-40B4-BE49-F238E27FC236}">
              <a16:creationId xmlns:a16="http://schemas.microsoft.com/office/drawing/2014/main" id="{531701E6-0EE3-42CD-85E5-ED3954E4F76F}"/>
            </a:ext>
          </a:extLst>
        </xdr:cNvPr>
        <xdr:cNvSpPr/>
      </xdr:nvSpPr>
      <xdr:spPr>
        <a:xfrm>
          <a:off x="4252912" y="8128000"/>
          <a:ext cx="548640" cy="142875"/>
        </a:xfrm>
        <a:prstGeom prst="rect">
          <a:avLst/>
        </a:prstGeom>
        <a:solidFill>
          <a:srgbClr val="FFF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BF7131A-7E27-49BB-A45F-9B6326DF5677}" type="TxLink">
            <a:rPr lang="en-US" sz="800" b="0" i="0" u="none" strike="noStrike">
              <a:solidFill>
                <a:schemeClr val="tx1"/>
              </a:solidFill>
              <a:latin typeface="Calibri"/>
              <a:ea typeface="+mn-ea"/>
              <a:cs typeface="Calibri"/>
            </a:rPr>
            <a:pPr marL="0" indent="0" algn="ctr"/>
            <a:t>0.018</a:t>
          </a:fld>
          <a:endParaRPr lang="en-US" sz="800" b="0" i="0" u="none" strike="noStrike">
            <a:solidFill>
              <a:schemeClr val="tx1"/>
            </a:solidFill>
            <a:latin typeface="Calibri"/>
            <a:ea typeface="+mn-ea"/>
            <a:cs typeface="Calibri"/>
          </a:endParaRPr>
        </a:p>
      </xdr:txBody>
    </xdr:sp>
    <xdr:clientData/>
  </xdr:twoCellAnchor>
  <xdr:twoCellAnchor>
    <xdr:from>
      <xdr:col>6</xdr:col>
      <xdr:colOff>595312</xdr:colOff>
      <xdr:row>43</xdr:row>
      <xdr:rowOff>130175</xdr:rowOff>
    </xdr:from>
    <xdr:to>
      <xdr:col>7</xdr:col>
      <xdr:colOff>534352</xdr:colOff>
      <xdr:row>44</xdr:row>
      <xdr:rowOff>82550</xdr:rowOff>
    </xdr:to>
    <xdr:sp macro="" textlink="RRR!I63">
      <xdr:nvSpPr>
        <xdr:cNvPr id="117" name="Rectangle 116">
          <a:extLst>
            <a:ext uri="{FF2B5EF4-FFF2-40B4-BE49-F238E27FC236}">
              <a16:creationId xmlns:a16="http://schemas.microsoft.com/office/drawing/2014/main" id="{36441128-57C7-4C75-BC3C-3BD64EC661A1}"/>
            </a:ext>
          </a:extLst>
        </xdr:cNvPr>
        <xdr:cNvSpPr/>
      </xdr:nvSpPr>
      <xdr:spPr>
        <a:xfrm>
          <a:off x="4252912" y="8321675"/>
          <a:ext cx="548640" cy="142875"/>
        </a:xfrm>
        <a:prstGeom prst="rect">
          <a:avLst/>
        </a:prstGeom>
        <a:solidFill>
          <a:srgbClr val="FFFF9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159F942-71CD-4D0A-9954-FBC61D3731BE}" type="TxLink">
            <a:rPr lang="en-US" sz="800" b="0" i="0" u="none" strike="noStrike">
              <a:solidFill>
                <a:schemeClr val="tx1"/>
              </a:solidFill>
              <a:latin typeface="Calibri"/>
              <a:ea typeface="+mn-ea"/>
              <a:cs typeface="Calibri"/>
            </a:rPr>
            <a:pPr marL="0" indent="0" algn="ctr"/>
            <a:t> 3,443 </a:t>
          </a:fld>
          <a:endParaRPr lang="en-US" sz="800" b="0" i="0" u="none" strike="noStrike">
            <a:solidFill>
              <a:schemeClr val="tx1"/>
            </a:solidFill>
            <a:latin typeface="Calibri"/>
            <a:ea typeface="+mn-ea"/>
            <a:cs typeface="Calibri"/>
          </a:endParaRPr>
        </a:p>
      </xdr:txBody>
    </xdr:sp>
    <xdr:clientData/>
  </xdr:twoCellAnchor>
  <xdr:twoCellAnchor>
    <xdr:from>
      <xdr:col>6</xdr:col>
      <xdr:colOff>595312</xdr:colOff>
      <xdr:row>44</xdr:row>
      <xdr:rowOff>133350</xdr:rowOff>
    </xdr:from>
    <xdr:to>
      <xdr:col>7</xdr:col>
      <xdr:colOff>534352</xdr:colOff>
      <xdr:row>45</xdr:row>
      <xdr:rowOff>85725</xdr:rowOff>
    </xdr:to>
    <xdr:sp macro="" textlink="RRR!I64">
      <xdr:nvSpPr>
        <xdr:cNvPr id="118" name="Rectangle 117">
          <a:extLst>
            <a:ext uri="{FF2B5EF4-FFF2-40B4-BE49-F238E27FC236}">
              <a16:creationId xmlns:a16="http://schemas.microsoft.com/office/drawing/2014/main" id="{CE772AD2-1950-490F-9115-E1B212BE4863}"/>
            </a:ext>
          </a:extLst>
        </xdr:cNvPr>
        <xdr:cNvSpPr/>
      </xdr:nvSpPr>
      <xdr:spPr>
        <a:xfrm>
          <a:off x="4252912" y="8515350"/>
          <a:ext cx="548640" cy="142875"/>
        </a:xfrm>
        <a:prstGeom prst="rect">
          <a:avLst/>
        </a:prstGeom>
        <a:solidFill>
          <a:srgbClr val="FFFF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BB1A05F-D59A-4995-89ED-816E20D9AE6B}" type="TxLink">
            <a:rPr lang="en-US" sz="800" b="0" i="0" u="none" strike="noStrike">
              <a:solidFill>
                <a:srgbClr val="000000"/>
              </a:solidFill>
              <a:latin typeface="Calibri"/>
              <a:ea typeface="+mn-ea"/>
              <a:cs typeface="Calibri"/>
            </a:rPr>
            <a:pPr marL="0" indent="0" algn="ctr"/>
            <a:t> 47,049 </a:t>
          </a:fld>
          <a:endParaRPr lang="en-US" sz="800" b="0" i="0" u="none" strike="noStrike">
            <a:solidFill>
              <a:srgbClr val="000000"/>
            </a:solidFill>
            <a:latin typeface="Calibri"/>
            <a:ea typeface="+mn-ea"/>
            <a:cs typeface="Calibri"/>
          </a:endParaRPr>
        </a:p>
      </xdr:txBody>
    </xdr:sp>
    <xdr:clientData/>
  </xdr:twoCellAnchor>
  <xdr:twoCellAnchor>
    <xdr:from>
      <xdr:col>8</xdr:col>
      <xdr:colOff>44451</xdr:colOff>
      <xdr:row>34</xdr:row>
      <xdr:rowOff>142875</xdr:rowOff>
    </xdr:from>
    <xdr:to>
      <xdr:col>10</xdr:col>
      <xdr:colOff>471171</xdr:colOff>
      <xdr:row>39</xdr:row>
      <xdr:rowOff>123825</xdr:rowOff>
    </xdr:to>
    <xdr:sp macro="" textlink="">
      <xdr:nvSpPr>
        <xdr:cNvPr id="128" name="Rectangle: Rounded Corners 127">
          <a:extLst>
            <a:ext uri="{FF2B5EF4-FFF2-40B4-BE49-F238E27FC236}">
              <a16:creationId xmlns:a16="http://schemas.microsoft.com/office/drawing/2014/main" id="{4749DEA1-1B05-4854-B2BE-D813F0A731B1}"/>
            </a:ext>
          </a:extLst>
        </xdr:cNvPr>
        <xdr:cNvSpPr/>
      </xdr:nvSpPr>
      <xdr:spPr>
        <a:xfrm>
          <a:off x="4921251" y="6619875"/>
          <a:ext cx="1645920" cy="933450"/>
        </a:xfrm>
        <a:prstGeom prst="roundRect">
          <a:avLst>
            <a:gd name="adj" fmla="val 0"/>
          </a:avLst>
        </a:prstGeom>
        <a:solidFill>
          <a:schemeClr val="bg1">
            <a:lumMod val="95000"/>
          </a:schemeClr>
        </a:soli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 </a:t>
          </a:r>
        </a:p>
      </xdr:txBody>
    </xdr:sp>
    <xdr:clientData/>
  </xdr:twoCellAnchor>
  <xdr:twoCellAnchor>
    <xdr:from>
      <xdr:col>8</xdr:col>
      <xdr:colOff>228601</xdr:colOff>
      <xdr:row>33</xdr:row>
      <xdr:rowOff>180975</xdr:rowOff>
    </xdr:from>
    <xdr:to>
      <xdr:col>10</xdr:col>
      <xdr:colOff>247651</xdr:colOff>
      <xdr:row>35</xdr:row>
      <xdr:rowOff>28956</xdr:rowOff>
    </xdr:to>
    <xdr:sp macro="" textlink="">
      <xdr:nvSpPr>
        <xdr:cNvPr id="129" name="Rectangle: Rounded Corners 128">
          <a:extLst>
            <a:ext uri="{FF2B5EF4-FFF2-40B4-BE49-F238E27FC236}">
              <a16:creationId xmlns:a16="http://schemas.microsoft.com/office/drawing/2014/main" id="{58103917-6518-470A-B2DD-8D6619CA4D64}"/>
            </a:ext>
          </a:extLst>
        </xdr:cNvPr>
        <xdr:cNvSpPr/>
      </xdr:nvSpPr>
      <xdr:spPr>
        <a:xfrm>
          <a:off x="5105401" y="6467475"/>
          <a:ext cx="1238250" cy="228981"/>
        </a:xfrm>
        <a:prstGeom prst="roundRect">
          <a:avLst>
            <a:gd name="adj" fmla="val 37521"/>
          </a:avLst>
        </a:prstGeom>
        <a:solidFill>
          <a:srgbClr val="006600"/>
        </a:solidFill>
        <a:ln w="381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lt1"/>
              </a:solidFill>
              <a:effectLst/>
              <a:latin typeface="+mn-lt"/>
              <a:ea typeface="+mn-ea"/>
              <a:cs typeface="+mn-cs"/>
            </a:rPr>
            <a:t>Water</a:t>
          </a:r>
          <a:endParaRPr lang="en-US" sz="1200">
            <a:effectLst/>
          </a:endParaRPr>
        </a:p>
      </xdr:txBody>
    </xdr:sp>
    <xdr:clientData/>
  </xdr:twoCellAnchor>
  <xdr:twoCellAnchor>
    <xdr:from>
      <xdr:col>8</xdr:col>
      <xdr:colOff>90487</xdr:colOff>
      <xdr:row>35</xdr:row>
      <xdr:rowOff>104775</xdr:rowOff>
    </xdr:from>
    <xdr:to>
      <xdr:col>9</xdr:col>
      <xdr:colOff>303847</xdr:colOff>
      <xdr:row>36</xdr:row>
      <xdr:rowOff>57150</xdr:rowOff>
    </xdr:to>
    <xdr:sp macro="" textlink="RRR!H34">
      <xdr:nvSpPr>
        <xdr:cNvPr id="130" name="Rectangle 129">
          <a:extLst>
            <a:ext uri="{FF2B5EF4-FFF2-40B4-BE49-F238E27FC236}">
              <a16:creationId xmlns:a16="http://schemas.microsoft.com/office/drawing/2014/main" id="{78E639DA-3530-4A86-9974-E1F17025B4A3}"/>
            </a:ext>
          </a:extLst>
        </xdr:cNvPr>
        <xdr:cNvSpPr/>
      </xdr:nvSpPr>
      <xdr:spPr>
        <a:xfrm>
          <a:off x="4967287" y="6772275"/>
          <a:ext cx="822960" cy="142875"/>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70FCA80-8075-4F6B-A489-5A60889510D6}" type="TxLink">
            <a:rPr lang="en-US" sz="800" b="1" i="0" u="none" strike="noStrike">
              <a:solidFill>
                <a:schemeClr val="tx1"/>
              </a:solidFill>
              <a:latin typeface="Calibri"/>
              <a:ea typeface="+mn-ea"/>
              <a:cs typeface="Calibri"/>
            </a:rPr>
            <a:pPr marL="0" indent="0" algn="ctr"/>
            <a:t>CRR (m3/DP)</a:t>
          </a:fld>
          <a:endParaRPr lang="en-US" sz="800" b="1" i="0" u="none" strike="noStrike">
            <a:solidFill>
              <a:schemeClr val="tx1"/>
            </a:solidFill>
            <a:latin typeface="Calibri"/>
            <a:ea typeface="+mn-ea"/>
            <a:cs typeface="Calibri"/>
          </a:endParaRPr>
        </a:p>
      </xdr:txBody>
    </xdr:sp>
    <xdr:clientData/>
  </xdr:twoCellAnchor>
  <xdr:twoCellAnchor>
    <xdr:from>
      <xdr:col>8</xdr:col>
      <xdr:colOff>90487</xdr:colOff>
      <xdr:row>36</xdr:row>
      <xdr:rowOff>107950</xdr:rowOff>
    </xdr:from>
    <xdr:to>
      <xdr:col>9</xdr:col>
      <xdr:colOff>303847</xdr:colOff>
      <xdr:row>37</xdr:row>
      <xdr:rowOff>60325</xdr:rowOff>
    </xdr:to>
    <xdr:sp macro="" textlink="RRR!H35">
      <xdr:nvSpPr>
        <xdr:cNvPr id="131" name="Rectangle 130">
          <a:extLst>
            <a:ext uri="{FF2B5EF4-FFF2-40B4-BE49-F238E27FC236}">
              <a16:creationId xmlns:a16="http://schemas.microsoft.com/office/drawing/2014/main" id="{FCFD3FD3-EB94-43A5-B6DD-1420825E5D38}"/>
            </a:ext>
          </a:extLst>
        </xdr:cNvPr>
        <xdr:cNvSpPr/>
      </xdr:nvSpPr>
      <xdr:spPr>
        <a:xfrm>
          <a:off x="4967287" y="6965950"/>
          <a:ext cx="822960" cy="142875"/>
        </a:xfrm>
        <a:prstGeom prst="rect">
          <a:avLst/>
        </a:prstGeom>
        <a:solidFill>
          <a:srgbClr val="FFF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397814E3-D994-42FD-845F-A780A8BC2991}" type="TxLink">
            <a:rPr lang="en-US" sz="800" b="1" i="0" u="none" strike="noStrike">
              <a:solidFill>
                <a:schemeClr val="tx1"/>
              </a:solidFill>
              <a:latin typeface="Calibri"/>
              <a:ea typeface="+mn-ea"/>
              <a:cs typeface="Calibri"/>
            </a:rPr>
            <a:pPr marL="0" indent="0" algn="ctr"/>
            <a:t>RRR (m3/DP)</a:t>
          </a:fld>
          <a:endParaRPr lang="en-US" sz="800" b="1" i="0" u="none" strike="noStrike">
            <a:solidFill>
              <a:schemeClr val="tx1"/>
            </a:solidFill>
            <a:latin typeface="Calibri"/>
            <a:ea typeface="+mn-ea"/>
            <a:cs typeface="Calibri"/>
          </a:endParaRPr>
        </a:p>
      </xdr:txBody>
    </xdr:sp>
    <xdr:clientData/>
  </xdr:twoCellAnchor>
  <xdr:twoCellAnchor>
    <xdr:from>
      <xdr:col>8</xdr:col>
      <xdr:colOff>90487</xdr:colOff>
      <xdr:row>37</xdr:row>
      <xdr:rowOff>111125</xdr:rowOff>
    </xdr:from>
    <xdr:to>
      <xdr:col>9</xdr:col>
      <xdr:colOff>303847</xdr:colOff>
      <xdr:row>38</xdr:row>
      <xdr:rowOff>63500</xdr:rowOff>
    </xdr:to>
    <xdr:sp macro="" textlink="RRR!H36">
      <xdr:nvSpPr>
        <xdr:cNvPr id="132" name="Rectangle 131">
          <a:extLst>
            <a:ext uri="{FF2B5EF4-FFF2-40B4-BE49-F238E27FC236}">
              <a16:creationId xmlns:a16="http://schemas.microsoft.com/office/drawing/2014/main" id="{29827E3E-98B9-4A70-AC2A-DEE26785F333}"/>
            </a:ext>
          </a:extLst>
        </xdr:cNvPr>
        <xdr:cNvSpPr/>
      </xdr:nvSpPr>
      <xdr:spPr>
        <a:xfrm>
          <a:off x="4967287" y="7159625"/>
          <a:ext cx="822960" cy="142875"/>
        </a:xfrm>
        <a:prstGeom prst="rect">
          <a:avLst/>
        </a:prstGeom>
        <a:solidFill>
          <a:srgbClr val="FFFF9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A0EF4EC0-CEDF-4A57-878B-B077B0488B01}" type="TxLink">
            <a:rPr lang="en-US" sz="800" b="1" i="0" u="none" strike="noStrike">
              <a:solidFill>
                <a:schemeClr val="tx1"/>
              </a:solidFill>
              <a:latin typeface="Calibri"/>
              <a:ea typeface="+mn-ea"/>
              <a:cs typeface="Calibri"/>
            </a:rPr>
            <a:pPr marL="0" indent="0" algn="ctr"/>
            <a:t>YTD m3</a:t>
          </a:fld>
          <a:endParaRPr lang="en-US" sz="800" b="1" i="0" u="none" strike="noStrike">
            <a:solidFill>
              <a:schemeClr val="tx1"/>
            </a:solidFill>
            <a:latin typeface="Calibri"/>
            <a:ea typeface="+mn-ea"/>
            <a:cs typeface="Calibri"/>
          </a:endParaRPr>
        </a:p>
      </xdr:txBody>
    </xdr:sp>
    <xdr:clientData/>
  </xdr:twoCellAnchor>
  <xdr:twoCellAnchor>
    <xdr:from>
      <xdr:col>8</xdr:col>
      <xdr:colOff>90487</xdr:colOff>
      <xdr:row>38</xdr:row>
      <xdr:rowOff>114300</xdr:rowOff>
    </xdr:from>
    <xdr:to>
      <xdr:col>9</xdr:col>
      <xdr:colOff>303847</xdr:colOff>
      <xdr:row>39</xdr:row>
      <xdr:rowOff>66675</xdr:rowOff>
    </xdr:to>
    <xdr:sp macro="" textlink="RRR!H37">
      <xdr:nvSpPr>
        <xdr:cNvPr id="133" name="Rectangle 132">
          <a:extLst>
            <a:ext uri="{FF2B5EF4-FFF2-40B4-BE49-F238E27FC236}">
              <a16:creationId xmlns:a16="http://schemas.microsoft.com/office/drawing/2014/main" id="{14AE59D6-D9CD-4F29-8929-EDE7EB940E0B}"/>
            </a:ext>
          </a:extLst>
        </xdr:cNvPr>
        <xdr:cNvSpPr/>
      </xdr:nvSpPr>
      <xdr:spPr>
        <a:xfrm>
          <a:off x="4967287" y="7353300"/>
          <a:ext cx="822960" cy="142875"/>
        </a:xfrm>
        <a:prstGeom prst="rect">
          <a:avLst/>
        </a:prstGeom>
        <a:solidFill>
          <a:srgbClr val="FFFF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42B97C97-F117-438F-A4CC-970060F79E77}" type="TxLink">
            <a:rPr lang="en-US" sz="800" b="1" i="0" u="none" strike="noStrike">
              <a:solidFill>
                <a:schemeClr val="tx1"/>
              </a:solidFill>
              <a:latin typeface="Calibri"/>
              <a:ea typeface="+mn-ea"/>
              <a:cs typeface="Calibri"/>
            </a:rPr>
            <a:pPr marL="0" indent="0" algn="ctr"/>
            <a:t>YTG m3</a:t>
          </a:fld>
          <a:endParaRPr lang="en-US" sz="800" b="1" i="0" u="none" strike="noStrike">
            <a:solidFill>
              <a:schemeClr val="tx1"/>
            </a:solidFill>
            <a:latin typeface="Calibri"/>
            <a:ea typeface="+mn-ea"/>
            <a:cs typeface="Calibri"/>
          </a:endParaRPr>
        </a:p>
      </xdr:txBody>
    </xdr:sp>
    <xdr:clientData/>
  </xdr:twoCellAnchor>
  <xdr:twoCellAnchor>
    <xdr:from>
      <xdr:col>9</xdr:col>
      <xdr:colOff>328612</xdr:colOff>
      <xdr:row>35</xdr:row>
      <xdr:rowOff>104775</xdr:rowOff>
    </xdr:from>
    <xdr:to>
      <xdr:col>10</xdr:col>
      <xdr:colOff>450532</xdr:colOff>
      <xdr:row>36</xdr:row>
      <xdr:rowOff>57150</xdr:rowOff>
    </xdr:to>
    <xdr:sp macro="" textlink="RRR!I34">
      <xdr:nvSpPr>
        <xdr:cNvPr id="134" name="Rectangle 133">
          <a:extLst>
            <a:ext uri="{FF2B5EF4-FFF2-40B4-BE49-F238E27FC236}">
              <a16:creationId xmlns:a16="http://schemas.microsoft.com/office/drawing/2014/main" id="{A7C121E2-993A-4162-89B4-F8C085CF2B25}"/>
            </a:ext>
          </a:extLst>
        </xdr:cNvPr>
        <xdr:cNvSpPr/>
      </xdr:nvSpPr>
      <xdr:spPr>
        <a:xfrm>
          <a:off x="5815012" y="6772275"/>
          <a:ext cx="731520" cy="142875"/>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0D38D80-738B-4C3D-AA7D-02ECFC4CEBA7}" type="TxLink">
            <a:rPr lang="en-US" sz="800" b="0" i="0" u="none" strike="noStrike">
              <a:solidFill>
                <a:schemeClr val="tx1"/>
              </a:solidFill>
              <a:latin typeface="Calibri"/>
              <a:ea typeface="+mn-ea"/>
              <a:cs typeface="Calibri"/>
            </a:rPr>
            <a:pPr marL="0" indent="0" algn="ctr"/>
            <a:t>0.016</a:t>
          </a:fld>
          <a:endParaRPr lang="en-US" sz="800" b="0" i="0" u="none" strike="noStrike">
            <a:solidFill>
              <a:schemeClr val="tx1"/>
            </a:solidFill>
            <a:latin typeface="Calibri"/>
            <a:ea typeface="+mn-ea"/>
            <a:cs typeface="Calibri"/>
          </a:endParaRPr>
        </a:p>
      </xdr:txBody>
    </xdr:sp>
    <xdr:clientData/>
  </xdr:twoCellAnchor>
  <xdr:twoCellAnchor>
    <xdr:from>
      <xdr:col>9</xdr:col>
      <xdr:colOff>328612</xdr:colOff>
      <xdr:row>36</xdr:row>
      <xdr:rowOff>107950</xdr:rowOff>
    </xdr:from>
    <xdr:to>
      <xdr:col>10</xdr:col>
      <xdr:colOff>450532</xdr:colOff>
      <xdr:row>37</xdr:row>
      <xdr:rowOff>60325</xdr:rowOff>
    </xdr:to>
    <xdr:sp macro="" textlink="RRR!I35">
      <xdr:nvSpPr>
        <xdr:cNvPr id="135" name="Rectangle 134">
          <a:extLst>
            <a:ext uri="{FF2B5EF4-FFF2-40B4-BE49-F238E27FC236}">
              <a16:creationId xmlns:a16="http://schemas.microsoft.com/office/drawing/2014/main" id="{18298710-1239-4892-A3C0-CC8E8BC2EADF}"/>
            </a:ext>
          </a:extLst>
        </xdr:cNvPr>
        <xdr:cNvSpPr/>
      </xdr:nvSpPr>
      <xdr:spPr>
        <a:xfrm>
          <a:off x="5815012" y="6965950"/>
          <a:ext cx="731520" cy="142875"/>
        </a:xfrm>
        <a:prstGeom prst="rect">
          <a:avLst/>
        </a:prstGeom>
        <a:solidFill>
          <a:srgbClr val="FFF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E07D2BD-15AE-48D4-A437-49D332B86AD5}" type="TxLink">
            <a:rPr lang="en-US" sz="800" b="0" i="0" u="none" strike="noStrike">
              <a:solidFill>
                <a:schemeClr val="tx1"/>
              </a:solidFill>
              <a:latin typeface="Calibri"/>
              <a:ea typeface="+mn-ea"/>
              <a:cs typeface="Calibri"/>
            </a:rPr>
            <a:pPr marL="0" indent="0" algn="ctr"/>
            <a:t>16.258</a:t>
          </a:fld>
          <a:endParaRPr lang="en-US" sz="800" b="0" i="0" u="none" strike="noStrike">
            <a:solidFill>
              <a:schemeClr val="tx1"/>
            </a:solidFill>
            <a:latin typeface="Calibri"/>
            <a:ea typeface="+mn-ea"/>
            <a:cs typeface="Calibri"/>
          </a:endParaRPr>
        </a:p>
      </xdr:txBody>
    </xdr:sp>
    <xdr:clientData/>
  </xdr:twoCellAnchor>
  <xdr:twoCellAnchor>
    <xdr:from>
      <xdr:col>9</xdr:col>
      <xdr:colOff>328612</xdr:colOff>
      <xdr:row>37</xdr:row>
      <xdr:rowOff>111125</xdr:rowOff>
    </xdr:from>
    <xdr:to>
      <xdr:col>10</xdr:col>
      <xdr:colOff>450532</xdr:colOff>
      <xdr:row>38</xdr:row>
      <xdr:rowOff>63500</xdr:rowOff>
    </xdr:to>
    <xdr:sp macro="" textlink="RRR!I36">
      <xdr:nvSpPr>
        <xdr:cNvPr id="136" name="Rectangle 135">
          <a:extLst>
            <a:ext uri="{FF2B5EF4-FFF2-40B4-BE49-F238E27FC236}">
              <a16:creationId xmlns:a16="http://schemas.microsoft.com/office/drawing/2014/main" id="{6E027403-70B6-4E10-8083-DA0DD88C2D98}"/>
            </a:ext>
          </a:extLst>
        </xdr:cNvPr>
        <xdr:cNvSpPr/>
      </xdr:nvSpPr>
      <xdr:spPr>
        <a:xfrm>
          <a:off x="5815012" y="7159625"/>
          <a:ext cx="731520" cy="142875"/>
        </a:xfrm>
        <a:prstGeom prst="rect">
          <a:avLst/>
        </a:prstGeom>
        <a:solidFill>
          <a:srgbClr val="FFFF9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63E7FFB-BAD3-460D-94DB-0CD73002227B}" type="TxLink">
            <a:rPr lang="en-US" sz="800" b="0" i="0" u="none" strike="noStrike">
              <a:solidFill>
                <a:schemeClr val="tx1"/>
              </a:solidFill>
              <a:latin typeface="Calibri"/>
              <a:ea typeface="+mn-ea"/>
              <a:cs typeface="Calibri"/>
            </a:rPr>
            <a:pPr marL="0" indent="0" algn="ctr"/>
            <a:t> 2,701 </a:t>
          </a:fld>
          <a:endParaRPr lang="en-US" sz="800" b="0" i="0" u="none" strike="noStrike">
            <a:solidFill>
              <a:schemeClr val="tx1"/>
            </a:solidFill>
            <a:latin typeface="Calibri"/>
            <a:ea typeface="+mn-ea"/>
            <a:cs typeface="Calibri"/>
          </a:endParaRPr>
        </a:p>
      </xdr:txBody>
    </xdr:sp>
    <xdr:clientData/>
  </xdr:twoCellAnchor>
  <xdr:twoCellAnchor>
    <xdr:from>
      <xdr:col>9</xdr:col>
      <xdr:colOff>328612</xdr:colOff>
      <xdr:row>38</xdr:row>
      <xdr:rowOff>114300</xdr:rowOff>
    </xdr:from>
    <xdr:to>
      <xdr:col>10</xdr:col>
      <xdr:colOff>450532</xdr:colOff>
      <xdr:row>39</xdr:row>
      <xdr:rowOff>66675</xdr:rowOff>
    </xdr:to>
    <xdr:sp macro="" textlink="RRR!I37">
      <xdr:nvSpPr>
        <xdr:cNvPr id="137" name="Rectangle 136">
          <a:extLst>
            <a:ext uri="{FF2B5EF4-FFF2-40B4-BE49-F238E27FC236}">
              <a16:creationId xmlns:a16="http://schemas.microsoft.com/office/drawing/2014/main" id="{474DBD64-5E80-4629-9731-8C0D38047252}"/>
            </a:ext>
          </a:extLst>
        </xdr:cNvPr>
        <xdr:cNvSpPr/>
      </xdr:nvSpPr>
      <xdr:spPr>
        <a:xfrm>
          <a:off x="5815012" y="7353300"/>
          <a:ext cx="731520" cy="142875"/>
        </a:xfrm>
        <a:prstGeom prst="rect">
          <a:avLst/>
        </a:prstGeom>
        <a:solidFill>
          <a:srgbClr val="FFFF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5CA05D0-396D-4A46-B976-AD68D937F308}" type="TxLink">
            <a:rPr lang="en-US" sz="800" b="0" i="0" u="none" strike="noStrike">
              <a:solidFill>
                <a:srgbClr val="000000"/>
              </a:solidFill>
              <a:latin typeface="Calibri"/>
              <a:ea typeface="+mn-ea"/>
              <a:cs typeface="Calibri"/>
            </a:rPr>
            <a:pPr marL="0" indent="0" algn="ctr"/>
            <a:t> 41,945,838 </a:t>
          </a:fld>
          <a:endParaRPr lang="en-US" sz="800" b="0" i="0" u="none" strike="noStrike">
            <a:solidFill>
              <a:srgbClr val="000000"/>
            </a:solidFill>
            <a:latin typeface="Calibri"/>
            <a:ea typeface="+mn-ea"/>
            <a:cs typeface="Calibri"/>
          </a:endParaRPr>
        </a:p>
      </xdr:txBody>
    </xdr:sp>
    <xdr:clientData/>
  </xdr:twoCellAnchor>
  <xdr:twoCellAnchor>
    <xdr:from>
      <xdr:col>8</xdr:col>
      <xdr:colOff>44450</xdr:colOff>
      <xdr:row>40</xdr:row>
      <xdr:rowOff>161925</xdr:rowOff>
    </xdr:from>
    <xdr:to>
      <xdr:col>10</xdr:col>
      <xdr:colOff>471170</xdr:colOff>
      <xdr:row>45</xdr:row>
      <xdr:rowOff>142875</xdr:rowOff>
    </xdr:to>
    <xdr:sp macro="" textlink="">
      <xdr:nvSpPr>
        <xdr:cNvPr id="138" name="Rectangle: Rounded Corners 137">
          <a:extLst>
            <a:ext uri="{FF2B5EF4-FFF2-40B4-BE49-F238E27FC236}">
              <a16:creationId xmlns:a16="http://schemas.microsoft.com/office/drawing/2014/main" id="{6DA491F7-574F-4509-95B3-EA168B6A087F}"/>
            </a:ext>
          </a:extLst>
        </xdr:cNvPr>
        <xdr:cNvSpPr/>
      </xdr:nvSpPr>
      <xdr:spPr>
        <a:xfrm>
          <a:off x="4921250" y="7781925"/>
          <a:ext cx="1645920" cy="933450"/>
        </a:xfrm>
        <a:prstGeom prst="roundRect">
          <a:avLst>
            <a:gd name="adj" fmla="val 0"/>
          </a:avLst>
        </a:prstGeom>
        <a:solidFill>
          <a:schemeClr val="bg1">
            <a:lumMod val="95000"/>
          </a:schemeClr>
        </a:soli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 </a:t>
          </a:r>
        </a:p>
      </xdr:txBody>
    </xdr:sp>
    <xdr:clientData/>
  </xdr:twoCellAnchor>
  <xdr:twoCellAnchor>
    <xdr:from>
      <xdr:col>8</xdr:col>
      <xdr:colOff>228601</xdr:colOff>
      <xdr:row>40</xdr:row>
      <xdr:rowOff>9525</xdr:rowOff>
    </xdr:from>
    <xdr:to>
      <xdr:col>10</xdr:col>
      <xdr:colOff>247651</xdr:colOff>
      <xdr:row>41</xdr:row>
      <xdr:rowOff>48006</xdr:rowOff>
    </xdr:to>
    <xdr:sp macro="" textlink="">
      <xdr:nvSpPr>
        <xdr:cNvPr id="139" name="Rectangle: Rounded Corners 138">
          <a:extLst>
            <a:ext uri="{FF2B5EF4-FFF2-40B4-BE49-F238E27FC236}">
              <a16:creationId xmlns:a16="http://schemas.microsoft.com/office/drawing/2014/main" id="{BDF9B37E-0256-4280-A85D-9CD19559EA3C}"/>
            </a:ext>
          </a:extLst>
        </xdr:cNvPr>
        <xdr:cNvSpPr/>
      </xdr:nvSpPr>
      <xdr:spPr>
        <a:xfrm>
          <a:off x="5105401" y="7629525"/>
          <a:ext cx="1238250" cy="228981"/>
        </a:xfrm>
        <a:prstGeom prst="roundRect">
          <a:avLst>
            <a:gd name="adj" fmla="val 37521"/>
          </a:avLst>
        </a:prstGeom>
        <a:solidFill>
          <a:srgbClr val="006600"/>
        </a:solidFill>
        <a:ln w="381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lt1"/>
              </a:solidFill>
              <a:effectLst/>
              <a:latin typeface="+mn-lt"/>
              <a:ea typeface="+mn-ea"/>
              <a:cs typeface="+mn-cs"/>
            </a:rPr>
            <a:t>Recyled</a:t>
          </a:r>
          <a:r>
            <a:rPr lang="en-US" sz="1100" baseline="0">
              <a:solidFill>
                <a:schemeClr val="lt1"/>
              </a:solidFill>
              <a:effectLst/>
              <a:latin typeface="+mn-lt"/>
              <a:ea typeface="+mn-ea"/>
              <a:cs typeface="+mn-cs"/>
            </a:rPr>
            <a:t> Material</a:t>
          </a:r>
          <a:endParaRPr lang="en-US" sz="1200">
            <a:effectLst/>
          </a:endParaRPr>
        </a:p>
      </xdr:txBody>
    </xdr:sp>
    <xdr:clientData/>
  </xdr:twoCellAnchor>
  <xdr:twoCellAnchor>
    <xdr:from>
      <xdr:col>8</xdr:col>
      <xdr:colOff>80962</xdr:colOff>
      <xdr:row>41</xdr:row>
      <xdr:rowOff>123825</xdr:rowOff>
    </xdr:from>
    <xdr:to>
      <xdr:col>9</xdr:col>
      <xdr:colOff>294322</xdr:colOff>
      <xdr:row>42</xdr:row>
      <xdr:rowOff>76200</xdr:rowOff>
    </xdr:to>
    <xdr:sp macro="" textlink="RRR!H87">
      <xdr:nvSpPr>
        <xdr:cNvPr id="140" name="Rectangle 139">
          <a:extLst>
            <a:ext uri="{FF2B5EF4-FFF2-40B4-BE49-F238E27FC236}">
              <a16:creationId xmlns:a16="http://schemas.microsoft.com/office/drawing/2014/main" id="{2158FF64-C73F-47B6-AD85-A5F7CEB53977}"/>
            </a:ext>
          </a:extLst>
        </xdr:cNvPr>
        <xdr:cNvSpPr/>
      </xdr:nvSpPr>
      <xdr:spPr>
        <a:xfrm>
          <a:off x="4957762" y="7934325"/>
          <a:ext cx="822960" cy="142875"/>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2026B5A-015D-4481-AA7A-88EC98CC1E58}" type="TxLink">
            <a:rPr lang="en-US" sz="800" b="1" i="0" u="none" strike="noStrike">
              <a:solidFill>
                <a:schemeClr val="tx1"/>
              </a:solidFill>
              <a:latin typeface="Calibri"/>
              <a:ea typeface="+mn-ea"/>
              <a:cs typeface="Calibri"/>
            </a:rPr>
            <a:pPr marL="0" indent="0" algn="ctr"/>
            <a:t>CRR (Kg/DP)</a:t>
          </a:fld>
          <a:endParaRPr lang="en-US" sz="800" b="1" i="0" u="none" strike="noStrike">
            <a:solidFill>
              <a:schemeClr val="tx1"/>
            </a:solidFill>
            <a:latin typeface="Calibri"/>
            <a:ea typeface="+mn-ea"/>
            <a:cs typeface="Calibri"/>
          </a:endParaRPr>
        </a:p>
      </xdr:txBody>
    </xdr:sp>
    <xdr:clientData/>
  </xdr:twoCellAnchor>
  <xdr:twoCellAnchor>
    <xdr:from>
      <xdr:col>8</xdr:col>
      <xdr:colOff>80962</xdr:colOff>
      <xdr:row>42</xdr:row>
      <xdr:rowOff>127000</xdr:rowOff>
    </xdr:from>
    <xdr:to>
      <xdr:col>9</xdr:col>
      <xdr:colOff>294322</xdr:colOff>
      <xdr:row>43</xdr:row>
      <xdr:rowOff>79375</xdr:rowOff>
    </xdr:to>
    <xdr:sp macro="" textlink="RRR!H88">
      <xdr:nvSpPr>
        <xdr:cNvPr id="141" name="Rectangle 140">
          <a:extLst>
            <a:ext uri="{FF2B5EF4-FFF2-40B4-BE49-F238E27FC236}">
              <a16:creationId xmlns:a16="http://schemas.microsoft.com/office/drawing/2014/main" id="{76020099-2848-432F-BB05-2D0699C05C4F}"/>
            </a:ext>
          </a:extLst>
        </xdr:cNvPr>
        <xdr:cNvSpPr/>
      </xdr:nvSpPr>
      <xdr:spPr>
        <a:xfrm>
          <a:off x="4957762" y="8128000"/>
          <a:ext cx="822960" cy="142875"/>
        </a:xfrm>
        <a:prstGeom prst="rect">
          <a:avLst/>
        </a:prstGeom>
        <a:solidFill>
          <a:srgbClr val="FFF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2E9A82C8-C587-4A32-9E53-7D810AAD464C}" type="TxLink">
            <a:rPr lang="en-US" sz="800" b="1" i="0" u="none" strike="noStrike">
              <a:solidFill>
                <a:schemeClr val="tx1"/>
              </a:solidFill>
              <a:latin typeface="Calibri"/>
              <a:ea typeface="+mn-ea"/>
              <a:cs typeface="Calibri"/>
            </a:rPr>
            <a:pPr marL="0" indent="0" algn="ctr"/>
            <a:t>RRR (Kg/DP)</a:t>
          </a:fld>
          <a:endParaRPr lang="en-US" sz="800" b="1" i="0" u="none" strike="noStrike">
            <a:solidFill>
              <a:schemeClr val="tx1"/>
            </a:solidFill>
            <a:latin typeface="Calibri"/>
            <a:ea typeface="+mn-ea"/>
            <a:cs typeface="Calibri"/>
          </a:endParaRPr>
        </a:p>
      </xdr:txBody>
    </xdr:sp>
    <xdr:clientData/>
  </xdr:twoCellAnchor>
  <xdr:twoCellAnchor>
    <xdr:from>
      <xdr:col>8</xdr:col>
      <xdr:colOff>80962</xdr:colOff>
      <xdr:row>43</xdr:row>
      <xdr:rowOff>130175</xdr:rowOff>
    </xdr:from>
    <xdr:to>
      <xdr:col>9</xdr:col>
      <xdr:colOff>294322</xdr:colOff>
      <xdr:row>44</xdr:row>
      <xdr:rowOff>82550</xdr:rowOff>
    </xdr:to>
    <xdr:sp macro="" textlink="RRR!H89">
      <xdr:nvSpPr>
        <xdr:cNvPr id="142" name="Rectangle 141">
          <a:extLst>
            <a:ext uri="{FF2B5EF4-FFF2-40B4-BE49-F238E27FC236}">
              <a16:creationId xmlns:a16="http://schemas.microsoft.com/office/drawing/2014/main" id="{0AE641D1-EFD0-4933-8965-1D0BAB863FE8}"/>
            </a:ext>
          </a:extLst>
        </xdr:cNvPr>
        <xdr:cNvSpPr/>
      </xdr:nvSpPr>
      <xdr:spPr>
        <a:xfrm>
          <a:off x="4957762" y="8321675"/>
          <a:ext cx="822960" cy="142875"/>
        </a:xfrm>
        <a:prstGeom prst="rect">
          <a:avLst/>
        </a:prstGeom>
        <a:solidFill>
          <a:srgbClr val="FFFF9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5D214835-A348-48A8-A2E8-AA7E06D4B66C}" type="TxLink">
            <a:rPr lang="en-US" sz="800" b="1" i="0" u="none" strike="noStrike">
              <a:solidFill>
                <a:schemeClr val="tx1"/>
              </a:solidFill>
              <a:latin typeface="Calibri"/>
              <a:ea typeface="+mn-ea"/>
              <a:cs typeface="Calibri"/>
            </a:rPr>
            <a:pPr marL="0" indent="0" algn="ctr"/>
            <a:t>YTD Kg</a:t>
          </a:fld>
          <a:endParaRPr lang="en-US" sz="800" b="1" i="0" u="none" strike="noStrike">
            <a:solidFill>
              <a:schemeClr val="tx1"/>
            </a:solidFill>
            <a:latin typeface="Calibri"/>
            <a:ea typeface="+mn-ea"/>
            <a:cs typeface="Calibri"/>
          </a:endParaRPr>
        </a:p>
      </xdr:txBody>
    </xdr:sp>
    <xdr:clientData/>
  </xdr:twoCellAnchor>
  <xdr:twoCellAnchor>
    <xdr:from>
      <xdr:col>8</xdr:col>
      <xdr:colOff>80962</xdr:colOff>
      <xdr:row>44</xdr:row>
      <xdr:rowOff>133350</xdr:rowOff>
    </xdr:from>
    <xdr:to>
      <xdr:col>9</xdr:col>
      <xdr:colOff>294322</xdr:colOff>
      <xdr:row>45</xdr:row>
      <xdr:rowOff>85725</xdr:rowOff>
    </xdr:to>
    <xdr:sp macro="" textlink="RRR!H90">
      <xdr:nvSpPr>
        <xdr:cNvPr id="143" name="Rectangle 142">
          <a:extLst>
            <a:ext uri="{FF2B5EF4-FFF2-40B4-BE49-F238E27FC236}">
              <a16:creationId xmlns:a16="http://schemas.microsoft.com/office/drawing/2014/main" id="{D50C03C6-D657-43B9-B519-568545FB2FAE}"/>
            </a:ext>
          </a:extLst>
        </xdr:cNvPr>
        <xdr:cNvSpPr/>
      </xdr:nvSpPr>
      <xdr:spPr>
        <a:xfrm>
          <a:off x="4957762" y="8515350"/>
          <a:ext cx="822960" cy="142875"/>
        </a:xfrm>
        <a:prstGeom prst="rect">
          <a:avLst/>
        </a:prstGeom>
        <a:solidFill>
          <a:srgbClr val="FFFF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5B24700A-8DBA-48AD-85BA-03858DC0C3C7}" type="TxLink">
            <a:rPr lang="en-US" sz="800" b="1" i="0" u="none" strike="noStrike">
              <a:solidFill>
                <a:schemeClr val="tx1"/>
              </a:solidFill>
              <a:latin typeface="Calibri"/>
              <a:ea typeface="+mn-ea"/>
              <a:cs typeface="Calibri"/>
            </a:rPr>
            <a:pPr marL="0" indent="0" algn="ctr"/>
            <a:t>YTG Kg</a:t>
          </a:fld>
          <a:endParaRPr lang="en-US" sz="800" b="1" i="0" u="none" strike="noStrike">
            <a:solidFill>
              <a:schemeClr val="tx1"/>
            </a:solidFill>
            <a:latin typeface="Calibri"/>
            <a:ea typeface="+mn-ea"/>
            <a:cs typeface="Calibri"/>
          </a:endParaRPr>
        </a:p>
      </xdr:txBody>
    </xdr:sp>
    <xdr:clientData/>
  </xdr:twoCellAnchor>
  <xdr:twoCellAnchor>
    <xdr:from>
      <xdr:col>9</xdr:col>
      <xdr:colOff>319087</xdr:colOff>
      <xdr:row>41</xdr:row>
      <xdr:rowOff>123825</xdr:rowOff>
    </xdr:from>
    <xdr:to>
      <xdr:col>10</xdr:col>
      <xdr:colOff>441007</xdr:colOff>
      <xdr:row>42</xdr:row>
      <xdr:rowOff>76200</xdr:rowOff>
    </xdr:to>
    <xdr:sp macro="" textlink="RRR!I87">
      <xdr:nvSpPr>
        <xdr:cNvPr id="144" name="Rectangle 143">
          <a:extLst>
            <a:ext uri="{FF2B5EF4-FFF2-40B4-BE49-F238E27FC236}">
              <a16:creationId xmlns:a16="http://schemas.microsoft.com/office/drawing/2014/main" id="{1C0BAE87-FEFF-4E93-BC06-3D20DDCE255D}"/>
            </a:ext>
          </a:extLst>
        </xdr:cNvPr>
        <xdr:cNvSpPr/>
      </xdr:nvSpPr>
      <xdr:spPr>
        <a:xfrm>
          <a:off x="5805487" y="7934325"/>
          <a:ext cx="731520" cy="142875"/>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5D78D2E-6F7D-4143-B9E5-93B4DED3B834}" type="TxLink">
            <a:rPr lang="en-US" sz="800" b="0" i="0" u="none" strike="noStrike">
              <a:solidFill>
                <a:schemeClr val="tx1"/>
              </a:solidFill>
              <a:latin typeface="Calibri"/>
              <a:ea typeface="+mn-ea"/>
              <a:cs typeface="Calibri"/>
            </a:rPr>
            <a:pPr marL="0" indent="0" algn="ctr"/>
            <a:t>0.233</a:t>
          </a:fld>
          <a:endParaRPr lang="en-US" sz="800" b="0" i="0" u="none" strike="noStrike">
            <a:solidFill>
              <a:schemeClr val="tx1"/>
            </a:solidFill>
            <a:latin typeface="Calibri"/>
            <a:ea typeface="+mn-ea"/>
            <a:cs typeface="Calibri"/>
          </a:endParaRPr>
        </a:p>
      </xdr:txBody>
    </xdr:sp>
    <xdr:clientData/>
  </xdr:twoCellAnchor>
  <xdr:twoCellAnchor>
    <xdr:from>
      <xdr:col>9</xdr:col>
      <xdr:colOff>319087</xdr:colOff>
      <xdr:row>42</xdr:row>
      <xdr:rowOff>127000</xdr:rowOff>
    </xdr:from>
    <xdr:to>
      <xdr:col>10</xdr:col>
      <xdr:colOff>441007</xdr:colOff>
      <xdr:row>43</xdr:row>
      <xdr:rowOff>79375</xdr:rowOff>
    </xdr:to>
    <xdr:sp macro="" textlink="RRR!I88">
      <xdr:nvSpPr>
        <xdr:cNvPr id="145" name="Rectangle 144">
          <a:extLst>
            <a:ext uri="{FF2B5EF4-FFF2-40B4-BE49-F238E27FC236}">
              <a16:creationId xmlns:a16="http://schemas.microsoft.com/office/drawing/2014/main" id="{753151C6-5991-4F71-92D0-D53B80D35A1E}"/>
            </a:ext>
          </a:extLst>
        </xdr:cNvPr>
        <xdr:cNvSpPr/>
      </xdr:nvSpPr>
      <xdr:spPr>
        <a:xfrm>
          <a:off x="5805487" y="8128000"/>
          <a:ext cx="731520" cy="142875"/>
        </a:xfrm>
        <a:prstGeom prst="rect">
          <a:avLst/>
        </a:prstGeom>
        <a:solidFill>
          <a:srgbClr val="FFF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33D90A6-449D-4F95-BCD9-88BFD6CA08B4}" type="TxLink">
            <a:rPr lang="en-US" sz="800" b="0" i="0" u="none" strike="noStrike">
              <a:solidFill>
                <a:schemeClr val="tx1"/>
              </a:solidFill>
              <a:latin typeface="Calibri"/>
              <a:ea typeface="+mn-ea"/>
              <a:cs typeface="Calibri"/>
            </a:rPr>
            <a:pPr marL="0" indent="0" algn="ctr"/>
            <a:t>0.208</a:t>
          </a:fld>
          <a:endParaRPr lang="en-US" sz="800" b="0" i="0" u="none" strike="noStrike">
            <a:solidFill>
              <a:schemeClr val="tx1"/>
            </a:solidFill>
            <a:latin typeface="Calibri"/>
            <a:ea typeface="+mn-ea"/>
            <a:cs typeface="Calibri"/>
          </a:endParaRPr>
        </a:p>
      </xdr:txBody>
    </xdr:sp>
    <xdr:clientData/>
  </xdr:twoCellAnchor>
  <xdr:twoCellAnchor>
    <xdr:from>
      <xdr:col>9</xdr:col>
      <xdr:colOff>319087</xdr:colOff>
      <xdr:row>43</xdr:row>
      <xdr:rowOff>130175</xdr:rowOff>
    </xdr:from>
    <xdr:to>
      <xdr:col>10</xdr:col>
      <xdr:colOff>441007</xdr:colOff>
      <xdr:row>44</xdr:row>
      <xdr:rowOff>82550</xdr:rowOff>
    </xdr:to>
    <xdr:sp macro="" textlink="RRR!I89">
      <xdr:nvSpPr>
        <xdr:cNvPr id="146" name="Rectangle 145">
          <a:extLst>
            <a:ext uri="{FF2B5EF4-FFF2-40B4-BE49-F238E27FC236}">
              <a16:creationId xmlns:a16="http://schemas.microsoft.com/office/drawing/2014/main" id="{5A880E10-ED0D-488E-AA98-23B4D0479F26}"/>
            </a:ext>
          </a:extLst>
        </xdr:cNvPr>
        <xdr:cNvSpPr/>
      </xdr:nvSpPr>
      <xdr:spPr>
        <a:xfrm>
          <a:off x="5805487" y="8321675"/>
          <a:ext cx="731520" cy="142875"/>
        </a:xfrm>
        <a:prstGeom prst="rect">
          <a:avLst/>
        </a:prstGeom>
        <a:solidFill>
          <a:srgbClr val="FFFF9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52F316A-E0DC-429D-BCB5-A8BA9F259BDF}" type="TxLink">
            <a:rPr lang="en-US" sz="800" b="0" i="0" u="none" strike="noStrike">
              <a:solidFill>
                <a:schemeClr val="tx1"/>
              </a:solidFill>
              <a:latin typeface="Calibri"/>
              <a:ea typeface="+mn-ea"/>
              <a:cs typeface="Calibri"/>
            </a:rPr>
            <a:pPr marL="0" indent="0" algn="ctr"/>
            <a:t> 38,882 </a:t>
          </a:fld>
          <a:endParaRPr lang="en-US" sz="800" b="0" i="0" u="none" strike="noStrike">
            <a:solidFill>
              <a:schemeClr val="tx1"/>
            </a:solidFill>
            <a:latin typeface="Calibri"/>
            <a:ea typeface="+mn-ea"/>
            <a:cs typeface="Calibri"/>
          </a:endParaRPr>
        </a:p>
      </xdr:txBody>
    </xdr:sp>
    <xdr:clientData/>
  </xdr:twoCellAnchor>
  <xdr:twoCellAnchor>
    <xdr:from>
      <xdr:col>9</xdr:col>
      <xdr:colOff>319087</xdr:colOff>
      <xdr:row>44</xdr:row>
      <xdr:rowOff>133350</xdr:rowOff>
    </xdr:from>
    <xdr:to>
      <xdr:col>10</xdr:col>
      <xdr:colOff>441007</xdr:colOff>
      <xdr:row>45</xdr:row>
      <xdr:rowOff>85725</xdr:rowOff>
    </xdr:to>
    <xdr:sp macro="" textlink="RRR!I90">
      <xdr:nvSpPr>
        <xdr:cNvPr id="147" name="Rectangle 146">
          <a:extLst>
            <a:ext uri="{FF2B5EF4-FFF2-40B4-BE49-F238E27FC236}">
              <a16:creationId xmlns:a16="http://schemas.microsoft.com/office/drawing/2014/main" id="{4801BFB2-FE62-4185-BF4C-360A5B999AF7}"/>
            </a:ext>
          </a:extLst>
        </xdr:cNvPr>
        <xdr:cNvSpPr/>
      </xdr:nvSpPr>
      <xdr:spPr>
        <a:xfrm>
          <a:off x="5805487" y="8515350"/>
          <a:ext cx="731520" cy="142875"/>
        </a:xfrm>
        <a:prstGeom prst="rect">
          <a:avLst/>
        </a:prstGeom>
        <a:solidFill>
          <a:srgbClr val="FFFF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16F1263-4C1A-4E32-9CA3-50B75C2950E9}" type="TxLink">
            <a:rPr lang="en-US" sz="800" b="0" i="0" u="none" strike="noStrike">
              <a:solidFill>
                <a:srgbClr val="000000"/>
              </a:solidFill>
              <a:latin typeface="Calibri"/>
              <a:ea typeface="+mn-ea"/>
              <a:cs typeface="Calibri"/>
            </a:rPr>
            <a:pPr marL="0" indent="0" algn="ctr"/>
            <a:t> 536,594 </a:t>
          </a:fld>
          <a:endParaRPr lang="en-US" sz="800" b="0" i="0" u="none" strike="noStrike">
            <a:solidFill>
              <a:srgbClr val="000000"/>
            </a:solidFill>
            <a:latin typeface="Calibri"/>
            <a:ea typeface="+mn-ea"/>
            <a:cs typeface="Calibri"/>
          </a:endParaRPr>
        </a:p>
      </xdr:txBody>
    </xdr:sp>
    <xdr:clientData/>
  </xdr:twoCellAnchor>
  <xdr:twoCellAnchor>
    <xdr:from>
      <xdr:col>10</xdr:col>
      <xdr:colOff>565151</xdr:colOff>
      <xdr:row>34</xdr:row>
      <xdr:rowOff>152400</xdr:rowOff>
    </xdr:from>
    <xdr:to>
      <xdr:col>13</xdr:col>
      <xdr:colOff>382271</xdr:colOff>
      <xdr:row>39</xdr:row>
      <xdr:rowOff>133350</xdr:rowOff>
    </xdr:to>
    <xdr:sp macro="" textlink="">
      <xdr:nvSpPr>
        <xdr:cNvPr id="148" name="Rectangle: Rounded Corners 147">
          <a:extLst>
            <a:ext uri="{FF2B5EF4-FFF2-40B4-BE49-F238E27FC236}">
              <a16:creationId xmlns:a16="http://schemas.microsoft.com/office/drawing/2014/main" id="{94CC91B7-776D-44BF-8ED3-28EABDB5654E}"/>
            </a:ext>
          </a:extLst>
        </xdr:cNvPr>
        <xdr:cNvSpPr/>
      </xdr:nvSpPr>
      <xdr:spPr>
        <a:xfrm>
          <a:off x="6661151" y="6629400"/>
          <a:ext cx="1645920" cy="933450"/>
        </a:xfrm>
        <a:prstGeom prst="roundRect">
          <a:avLst>
            <a:gd name="adj" fmla="val 0"/>
          </a:avLst>
        </a:prstGeom>
        <a:solidFill>
          <a:schemeClr val="bg1">
            <a:lumMod val="95000"/>
          </a:schemeClr>
        </a:soli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 </a:t>
          </a:r>
        </a:p>
      </xdr:txBody>
    </xdr:sp>
    <xdr:clientData/>
  </xdr:twoCellAnchor>
  <xdr:twoCellAnchor>
    <xdr:from>
      <xdr:col>11</xdr:col>
      <xdr:colOff>142876</xdr:colOff>
      <xdr:row>34</xdr:row>
      <xdr:rowOff>0</xdr:rowOff>
    </xdr:from>
    <xdr:to>
      <xdr:col>13</xdr:col>
      <xdr:colOff>161926</xdr:colOff>
      <xdr:row>35</xdr:row>
      <xdr:rowOff>38481</xdr:rowOff>
    </xdr:to>
    <xdr:sp macro="" textlink="">
      <xdr:nvSpPr>
        <xdr:cNvPr id="149" name="Rectangle: Rounded Corners 148">
          <a:extLst>
            <a:ext uri="{FF2B5EF4-FFF2-40B4-BE49-F238E27FC236}">
              <a16:creationId xmlns:a16="http://schemas.microsoft.com/office/drawing/2014/main" id="{1DBEB544-194F-43A3-A2E8-1D98D88FA381}"/>
            </a:ext>
          </a:extLst>
        </xdr:cNvPr>
        <xdr:cNvSpPr/>
      </xdr:nvSpPr>
      <xdr:spPr>
        <a:xfrm>
          <a:off x="6848476" y="6477000"/>
          <a:ext cx="1238250" cy="228981"/>
        </a:xfrm>
        <a:prstGeom prst="roundRect">
          <a:avLst>
            <a:gd name="adj" fmla="val 37521"/>
          </a:avLst>
        </a:prstGeom>
        <a:solidFill>
          <a:srgbClr val="006600"/>
        </a:solidFill>
        <a:ln w="381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lt1"/>
              </a:solidFill>
              <a:effectLst/>
              <a:latin typeface="+mn-lt"/>
              <a:ea typeface="+mn-ea"/>
              <a:cs typeface="+mn-cs"/>
            </a:rPr>
            <a:t>Haz.</a:t>
          </a:r>
          <a:r>
            <a:rPr lang="en-US" sz="1100" baseline="0">
              <a:solidFill>
                <a:schemeClr val="lt1"/>
              </a:solidFill>
              <a:effectLst/>
              <a:latin typeface="+mn-lt"/>
              <a:ea typeface="+mn-ea"/>
              <a:cs typeface="+mn-cs"/>
            </a:rPr>
            <a:t> Chem. Cons</a:t>
          </a:r>
          <a:endParaRPr lang="en-US">
            <a:effectLst/>
          </a:endParaRPr>
        </a:p>
      </xdr:txBody>
    </xdr:sp>
    <xdr:clientData/>
  </xdr:twoCellAnchor>
  <xdr:twoCellAnchor>
    <xdr:from>
      <xdr:col>10</xdr:col>
      <xdr:colOff>595312</xdr:colOff>
      <xdr:row>35</xdr:row>
      <xdr:rowOff>114300</xdr:rowOff>
    </xdr:from>
    <xdr:to>
      <xdr:col>12</xdr:col>
      <xdr:colOff>199072</xdr:colOff>
      <xdr:row>36</xdr:row>
      <xdr:rowOff>66675</xdr:rowOff>
    </xdr:to>
    <xdr:sp macro="" textlink="RRR!H113">
      <xdr:nvSpPr>
        <xdr:cNvPr id="150" name="Rectangle 149">
          <a:extLst>
            <a:ext uri="{FF2B5EF4-FFF2-40B4-BE49-F238E27FC236}">
              <a16:creationId xmlns:a16="http://schemas.microsoft.com/office/drawing/2014/main" id="{8AF6B101-0A0E-4492-B101-537A858BBC7D}"/>
            </a:ext>
          </a:extLst>
        </xdr:cNvPr>
        <xdr:cNvSpPr/>
      </xdr:nvSpPr>
      <xdr:spPr>
        <a:xfrm>
          <a:off x="6691312" y="6781800"/>
          <a:ext cx="822960" cy="142875"/>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C59366C-FC68-467B-8E85-7921F598E2E7}" type="TxLink">
            <a:rPr lang="en-US" sz="800" b="1" i="0" u="none" strike="noStrike">
              <a:solidFill>
                <a:schemeClr val="tx1"/>
              </a:solidFill>
              <a:latin typeface="Calibri"/>
              <a:ea typeface="+mn-ea"/>
              <a:cs typeface="Calibri"/>
            </a:rPr>
            <a:pPr marL="0" indent="0" algn="ctr"/>
            <a:t>CRR (Kg/DP)</a:t>
          </a:fld>
          <a:endParaRPr lang="en-US" sz="800" b="1" i="0" u="none" strike="noStrike">
            <a:solidFill>
              <a:schemeClr val="tx1"/>
            </a:solidFill>
            <a:latin typeface="Calibri"/>
            <a:ea typeface="+mn-ea"/>
            <a:cs typeface="Calibri"/>
          </a:endParaRPr>
        </a:p>
      </xdr:txBody>
    </xdr:sp>
    <xdr:clientData/>
  </xdr:twoCellAnchor>
  <xdr:twoCellAnchor>
    <xdr:from>
      <xdr:col>10</xdr:col>
      <xdr:colOff>595312</xdr:colOff>
      <xdr:row>36</xdr:row>
      <xdr:rowOff>117475</xdr:rowOff>
    </xdr:from>
    <xdr:to>
      <xdr:col>12</xdr:col>
      <xdr:colOff>199072</xdr:colOff>
      <xdr:row>37</xdr:row>
      <xdr:rowOff>69850</xdr:rowOff>
    </xdr:to>
    <xdr:sp macro="" textlink="RRR!H114">
      <xdr:nvSpPr>
        <xdr:cNvPr id="151" name="Rectangle 150">
          <a:extLst>
            <a:ext uri="{FF2B5EF4-FFF2-40B4-BE49-F238E27FC236}">
              <a16:creationId xmlns:a16="http://schemas.microsoft.com/office/drawing/2014/main" id="{54A59D1D-4B29-4CEF-B2FB-7556D0286374}"/>
            </a:ext>
          </a:extLst>
        </xdr:cNvPr>
        <xdr:cNvSpPr/>
      </xdr:nvSpPr>
      <xdr:spPr>
        <a:xfrm>
          <a:off x="6691312" y="6975475"/>
          <a:ext cx="822960" cy="142875"/>
        </a:xfrm>
        <a:prstGeom prst="rect">
          <a:avLst/>
        </a:prstGeom>
        <a:solidFill>
          <a:srgbClr val="FFF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E915F456-30C3-4294-A328-B23844DE1D77}" type="TxLink">
            <a:rPr lang="en-US" sz="800" b="1" i="0" u="none" strike="noStrike">
              <a:solidFill>
                <a:schemeClr val="tx1"/>
              </a:solidFill>
              <a:latin typeface="Calibri"/>
              <a:ea typeface="+mn-ea"/>
              <a:cs typeface="Calibri"/>
            </a:rPr>
            <a:pPr marL="0" indent="0" algn="ctr"/>
            <a:t>RRR (Kg/DP)</a:t>
          </a:fld>
          <a:endParaRPr lang="en-US" sz="800" b="1" i="0" u="none" strike="noStrike">
            <a:solidFill>
              <a:schemeClr val="tx1"/>
            </a:solidFill>
            <a:latin typeface="Calibri"/>
            <a:ea typeface="+mn-ea"/>
            <a:cs typeface="Calibri"/>
          </a:endParaRPr>
        </a:p>
      </xdr:txBody>
    </xdr:sp>
    <xdr:clientData/>
  </xdr:twoCellAnchor>
  <xdr:twoCellAnchor>
    <xdr:from>
      <xdr:col>10</xdr:col>
      <xdr:colOff>595312</xdr:colOff>
      <xdr:row>37</xdr:row>
      <xdr:rowOff>120650</xdr:rowOff>
    </xdr:from>
    <xdr:to>
      <xdr:col>12</xdr:col>
      <xdr:colOff>199072</xdr:colOff>
      <xdr:row>38</xdr:row>
      <xdr:rowOff>73025</xdr:rowOff>
    </xdr:to>
    <xdr:sp macro="" textlink="RRR!H115">
      <xdr:nvSpPr>
        <xdr:cNvPr id="152" name="Rectangle 151">
          <a:extLst>
            <a:ext uri="{FF2B5EF4-FFF2-40B4-BE49-F238E27FC236}">
              <a16:creationId xmlns:a16="http://schemas.microsoft.com/office/drawing/2014/main" id="{7BDB3A82-6C4D-46F5-876B-B167333D253B}"/>
            </a:ext>
          </a:extLst>
        </xdr:cNvPr>
        <xdr:cNvSpPr/>
      </xdr:nvSpPr>
      <xdr:spPr>
        <a:xfrm>
          <a:off x="6691312" y="7169150"/>
          <a:ext cx="822960" cy="142875"/>
        </a:xfrm>
        <a:prstGeom prst="rect">
          <a:avLst/>
        </a:prstGeom>
        <a:solidFill>
          <a:srgbClr val="FFFF9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D86C818C-C6ED-41E2-A354-4185DC8FE09D}" type="TxLink">
            <a:rPr lang="en-US" sz="800" b="1" i="0" u="none" strike="noStrike">
              <a:solidFill>
                <a:schemeClr val="tx1"/>
              </a:solidFill>
              <a:latin typeface="Calibri"/>
              <a:ea typeface="+mn-ea"/>
              <a:cs typeface="Calibri"/>
            </a:rPr>
            <a:pPr marL="0" indent="0" algn="ctr"/>
            <a:t>YTD Kg</a:t>
          </a:fld>
          <a:endParaRPr lang="en-US" sz="800" b="1" i="0" u="none" strike="noStrike">
            <a:solidFill>
              <a:schemeClr val="tx1"/>
            </a:solidFill>
            <a:latin typeface="Calibri"/>
            <a:ea typeface="+mn-ea"/>
            <a:cs typeface="Calibri"/>
          </a:endParaRPr>
        </a:p>
      </xdr:txBody>
    </xdr:sp>
    <xdr:clientData/>
  </xdr:twoCellAnchor>
  <xdr:twoCellAnchor>
    <xdr:from>
      <xdr:col>10</xdr:col>
      <xdr:colOff>595312</xdr:colOff>
      <xdr:row>38</xdr:row>
      <xdr:rowOff>123825</xdr:rowOff>
    </xdr:from>
    <xdr:to>
      <xdr:col>12</xdr:col>
      <xdr:colOff>199072</xdr:colOff>
      <xdr:row>39</xdr:row>
      <xdr:rowOff>76200</xdr:rowOff>
    </xdr:to>
    <xdr:sp macro="" textlink="RRR!H116">
      <xdr:nvSpPr>
        <xdr:cNvPr id="153" name="Rectangle 152">
          <a:extLst>
            <a:ext uri="{FF2B5EF4-FFF2-40B4-BE49-F238E27FC236}">
              <a16:creationId xmlns:a16="http://schemas.microsoft.com/office/drawing/2014/main" id="{EAFD9182-79A5-4D0F-8AB1-2DEE8C34A968}"/>
            </a:ext>
          </a:extLst>
        </xdr:cNvPr>
        <xdr:cNvSpPr/>
      </xdr:nvSpPr>
      <xdr:spPr>
        <a:xfrm>
          <a:off x="6691312" y="7362825"/>
          <a:ext cx="822960" cy="142875"/>
        </a:xfrm>
        <a:prstGeom prst="rect">
          <a:avLst/>
        </a:prstGeom>
        <a:solidFill>
          <a:srgbClr val="FFFF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81A9543F-4FFF-418A-90CF-6B61A65EC7FF}" type="TxLink">
            <a:rPr lang="en-US" sz="800" b="1" i="0" u="none" strike="noStrike">
              <a:solidFill>
                <a:schemeClr val="tx1"/>
              </a:solidFill>
              <a:latin typeface="Calibri"/>
              <a:ea typeface="+mn-ea"/>
              <a:cs typeface="Calibri"/>
            </a:rPr>
            <a:pPr marL="0" indent="0" algn="ctr"/>
            <a:t>YTG Kg</a:t>
          </a:fld>
          <a:endParaRPr lang="en-US" sz="800" b="1" i="0" u="none" strike="noStrike">
            <a:solidFill>
              <a:schemeClr val="tx1"/>
            </a:solidFill>
            <a:latin typeface="Calibri"/>
            <a:ea typeface="+mn-ea"/>
            <a:cs typeface="Calibri"/>
          </a:endParaRPr>
        </a:p>
      </xdr:txBody>
    </xdr:sp>
    <xdr:clientData/>
  </xdr:twoCellAnchor>
  <xdr:twoCellAnchor>
    <xdr:from>
      <xdr:col>12</xdr:col>
      <xdr:colOff>223837</xdr:colOff>
      <xdr:row>35</xdr:row>
      <xdr:rowOff>114300</xdr:rowOff>
    </xdr:from>
    <xdr:to>
      <xdr:col>13</xdr:col>
      <xdr:colOff>345757</xdr:colOff>
      <xdr:row>36</xdr:row>
      <xdr:rowOff>66675</xdr:rowOff>
    </xdr:to>
    <xdr:sp macro="" textlink="RRR!I113">
      <xdr:nvSpPr>
        <xdr:cNvPr id="154" name="Rectangle 153">
          <a:extLst>
            <a:ext uri="{FF2B5EF4-FFF2-40B4-BE49-F238E27FC236}">
              <a16:creationId xmlns:a16="http://schemas.microsoft.com/office/drawing/2014/main" id="{CE4B9D51-6C01-4F29-A4AE-352612CC40A1}"/>
            </a:ext>
          </a:extLst>
        </xdr:cNvPr>
        <xdr:cNvSpPr/>
      </xdr:nvSpPr>
      <xdr:spPr>
        <a:xfrm>
          <a:off x="7539037" y="6781800"/>
          <a:ext cx="731520" cy="142875"/>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53A5F96-7784-4887-BA2B-A58D645BFBBF}" type="TxLink">
            <a:rPr lang="en-US" sz="800" b="0" i="0" u="none" strike="noStrike">
              <a:solidFill>
                <a:schemeClr val="tx1"/>
              </a:solidFill>
              <a:latin typeface="Calibri"/>
              <a:ea typeface="+mn-ea"/>
              <a:cs typeface="Calibri"/>
            </a:rPr>
            <a:pPr marL="0" indent="0" algn="ctr"/>
            <a:t>0.217</a:t>
          </a:fld>
          <a:endParaRPr lang="en-US" sz="800" b="0" i="0" u="none" strike="noStrike">
            <a:solidFill>
              <a:schemeClr val="tx1"/>
            </a:solidFill>
            <a:latin typeface="Calibri"/>
            <a:ea typeface="+mn-ea"/>
            <a:cs typeface="Calibri"/>
          </a:endParaRPr>
        </a:p>
      </xdr:txBody>
    </xdr:sp>
    <xdr:clientData/>
  </xdr:twoCellAnchor>
  <xdr:twoCellAnchor>
    <xdr:from>
      <xdr:col>12</xdr:col>
      <xdr:colOff>223837</xdr:colOff>
      <xdr:row>36</xdr:row>
      <xdr:rowOff>117475</xdr:rowOff>
    </xdr:from>
    <xdr:to>
      <xdr:col>13</xdr:col>
      <xdr:colOff>345757</xdr:colOff>
      <xdr:row>37</xdr:row>
      <xdr:rowOff>69850</xdr:rowOff>
    </xdr:to>
    <xdr:sp macro="" textlink="RRR!I114">
      <xdr:nvSpPr>
        <xdr:cNvPr id="155" name="Rectangle 154">
          <a:extLst>
            <a:ext uri="{FF2B5EF4-FFF2-40B4-BE49-F238E27FC236}">
              <a16:creationId xmlns:a16="http://schemas.microsoft.com/office/drawing/2014/main" id="{E9653E9B-42BC-4726-A3CF-42436C78579F}"/>
            </a:ext>
          </a:extLst>
        </xdr:cNvPr>
        <xdr:cNvSpPr/>
      </xdr:nvSpPr>
      <xdr:spPr>
        <a:xfrm>
          <a:off x="7539037" y="6975475"/>
          <a:ext cx="731520" cy="142875"/>
        </a:xfrm>
        <a:prstGeom prst="rect">
          <a:avLst/>
        </a:prstGeom>
        <a:solidFill>
          <a:srgbClr val="FFF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08BB112-ED59-4A63-B0C0-EC87A478B6BF}" type="TxLink">
            <a:rPr lang="en-US" sz="800" b="0" i="0" u="none" strike="noStrike">
              <a:solidFill>
                <a:schemeClr val="tx1"/>
              </a:solidFill>
              <a:latin typeface="Calibri"/>
              <a:ea typeface="+mn-ea"/>
              <a:cs typeface="Calibri"/>
            </a:rPr>
            <a:pPr marL="0" indent="0" algn="ctr"/>
            <a:t>0.204</a:t>
          </a:fld>
          <a:endParaRPr lang="en-US" sz="800" b="0" i="0" u="none" strike="noStrike">
            <a:solidFill>
              <a:schemeClr val="tx1"/>
            </a:solidFill>
            <a:latin typeface="Calibri"/>
            <a:ea typeface="+mn-ea"/>
            <a:cs typeface="Calibri"/>
          </a:endParaRPr>
        </a:p>
      </xdr:txBody>
    </xdr:sp>
    <xdr:clientData/>
  </xdr:twoCellAnchor>
  <xdr:twoCellAnchor>
    <xdr:from>
      <xdr:col>12</xdr:col>
      <xdr:colOff>223837</xdr:colOff>
      <xdr:row>37</xdr:row>
      <xdr:rowOff>120650</xdr:rowOff>
    </xdr:from>
    <xdr:to>
      <xdr:col>13</xdr:col>
      <xdr:colOff>345757</xdr:colOff>
      <xdr:row>38</xdr:row>
      <xdr:rowOff>73025</xdr:rowOff>
    </xdr:to>
    <xdr:sp macro="" textlink="RRR!I115">
      <xdr:nvSpPr>
        <xdr:cNvPr id="156" name="Rectangle 155">
          <a:extLst>
            <a:ext uri="{FF2B5EF4-FFF2-40B4-BE49-F238E27FC236}">
              <a16:creationId xmlns:a16="http://schemas.microsoft.com/office/drawing/2014/main" id="{CD35179E-D4FC-41DD-A7BF-8F4A4003EA88}"/>
            </a:ext>
          </a:extLst>
        </xdr:cNvPr>
        <xdr:cNvSpPr/>
      </xdr:nvSpPr>
      <xdr:spPr>
        <a:xfrm>
          <a:off x="7539037" y="7169150"/>
          <a:ext cx="731520" cy="142875"/>
        </a:xfrm>
        <a:prstGeom prst="rect">
          <a:avLst/>
        </a:prstGeom>
        <a:solidFill>
          <a:srgbClr val="FFFF9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DEA515A-581F-4E7A-8B02-3511D1463E9D}" type="TxLink">
            <a:rPr lang="en-US" sz="800" b="0" i="0" u="none" strike="noStrike">
              <a:solidFill>
                <a:schemeClr val="tx1"/>
              </a:solidFill>
              <a:latin typeface="Calibri"/>
              <a:ea typeface="+mn-ea"/>
              <a:cs typeface="Calibri"/>
            </a:rPr>
            <a:pPr marL="0" indent="0" algn="ctr"/>
            <a:t> 36,266 </a:t>
          </a:fld>
          <a:endParaRPr lang="en-US" sz="800" b="0" i="0" u="none" strike="noStrike">
            <a:solidFill>
              <a:schemeClr val="tx1"/>
            </a:solidFill>
            <a:latin typeface="Calibri"/>
            <a:ea typeface="+mn-ea"/>
            <a:cs typeface="Calibri"/>
          </a:endParaRPr>
        </a:p>
      </xdr:txBody>
    </xdr:sp>
    <xdr:clientData/>
  </xdr:twoCellAnchor>
  <xdr:twoCellAnchor>
    <xdr:from>
      <xdr:col>12</xdr:col>
      <xdr:colOff>223837</xdr:colOff>
      <xdr:row>38</xdr:row>
      <xdr:rowOff>123825</xdr:rowOff>
    </xdr:from>
    <xdr:to>
      <xdr:col>13</xdr:col>
      <xdr:colOff>345757</xdr:colOff>
      <xdr:row>39</xdr:row>
      <xdr:rowOff>76200</xdr:rowOff>
    </xdr:to>
    <xdr:sp macro="" textlink="RRR!I116">
      <xdr:nvSpPr>
        <xdr:cNvPr id="157" name="Rectangle 156">
          <a:extLst>
            <a:ext uri="{FF2B5EF4-FFF2-40B4-BE49-F238E27FC236}">
              <a16:creationId xmlns:a16="http://schemas.microsoft.com/office/drawing/2014/main" id="{E0475C04-6F5C-4904-AF3B-CDF7AE74908A}"/>
            </a:ext>
          </a:extLst>
        </xdr:cNvPr>
        <xdr:cNvSpPr/>
      </xdr:nvSpPr>
      <xdr:spPr>
        <a:xfrm>
          <a:off x="7539037" y="7362825"/>
          <a:ext cx="731520" cy="142875"/>
        </a:xfrm>
        <a:prstGeom prst="rect">
          <a:avLst/>
        </a:prstGeom>
        <a:solidFill>
          <a:srgbClr val="FFFF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8FFDCCE-F867-4697-908B-69985802ABBF}" type="TxLink">
            <a:rPr lang="en-US" sz="800" b="0" i="0" u="none" strike="noStrike">
              <a:solidFill>
                <a:srgbClr val="000000"/>
              </a:solidFill>
              <a:latin typeface="Calibri"/>
              <a:ea typeface="+mn-ea"/>
              <a:cs typeface="Calibri"/>
            </a:rPr>
            <a:pPr marL="0" indent="0" algn="ctr"/>
            <a:t> 525,165 </a:t>
          </a:fld>
          <a:endParaRPr lang="en-US" sz="800" b="0" i="0" u="none" strike="noStrike">
            <a:solidFill>
              <a:srgbClr val="000000"/>
            </a:solidFill>
            <a:latin typeface="Calibri"/>
            <a:ea typeface="+mn-ea"/>
            <a:cs typeface="Calibri"/>
          </a:endParaRPr>
        </a:p>
      </xdr:txBody>
    </xdr:sp>
    <xdr:clientData/>
  </xdr:twoCellAnchor>
  <xdr:twoCellAnchor>
    <xdr:from>
      <xdr:col>10</xdr:col>
      <xdr:colOff>565150</xdr:colOff>
      <xdr:row>40</xdr:row>
      <xdr:rowOff>161925</xdr:rowOff>
    </xdr:from>
    <xdr:to>
      <xdr:col>13</xdr:col>
      <xdr:colOff>382270</xdr:colOff>
      <xdr:row>45</xdr:row>
      <xdr:rowOff>142875</xdr:rowOff>
    </xdr:to>
    <xdr:sp macro="" textlink="">
      <xdr:nvSpPr>
        <xdr:cNvPr id="158" name="Rectangle: Rounded Corners 157">
          <a:extLst>
            <a:ext uri="{FF2B5EF4-FFF2-40B4-BE49-F238E27FC236}">
              <a16:creationId xmlns:a16="http://schemas.microsoft.com/office/drawing/2014/main" id="{839F1C68-6B0A-45A1-875E-A991FFF3A68C}"/>
            </a:ext>
          </a:extLst>
        </xdr:cNvPr>
        <xdr:cNvSpPr/>
      </xdr:nvSpPr>
      <xdr:spPr>
        <a:xfrm>
          <a:off x="6661150" y="7781925"/>
          <a:ext cx="1645920" cy="933450"/>
        </a:xfrm>
        <a:prstGeom prst="roundRect">
          <a:avLst>
            <a:gd name="adj" fmla="val 0"/>
          </a:avLst>
        </a:prstGeom>
        <a:solidFill>
          <a:schemeClr val="bg1">
            <a:lumMod val="95000"/>
          </a:schemeClr>
        </a:soli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 </a:t>
          </a:r>
        </a:p>
      </xdr:txBody>
    </xdr:sp>
    <xdr:clientData/>
  </xdr:twoCellAnchor>
  <xdr:twoCellAnchor>
    <xdr:from>
      <xdr:col>11</xdr:col>
      <xdr:colOff>133351</xdr:colOff>
      <xdr:row>40</xdr:row>
      <xdr:rowOff>9525</xdr:rowOff>
    </xdr:from>
    <xdr:to>
      <xdr:col>13</xdr:col>
      <xdr:colOff>152401</xdr:colOff>
      <xdr:row>41</xdr:row>
      <xdr:rowOff>48006</xdr:rowOff>
    </xdr:to>
    <xdr:sp macro="" textlink="">
      <xdr:nvSpPr>
        <xdr:cNvPr id="159" name="Rectangle: Rounded Corners 158">
          <a:extLst>
            <a:ext uri="{FF2B5EF4-FFF2-40B4-BE49-F238E27FC236}">
              <a16:creationId xmlns:a16="http://schemas.microsoft.com/office/drawing/2014/main" id="{3C18CFBC-C376-4771-B3D8-7B9149CAA972}"/>
            </a:ext>
          </a:extLst>
        </xdr:cNvPr>
        <xdr:cNvSpPr/>
      </xdr:nvSpPr>
      <xdr:spPr>
        <a:xfrm>
          <a:off x="6838951" y="7629525"/>
          <a:ext cx="1238250" cy="228981"/>
        </a:xfrm>
        <a:prstGeom prst="roundRect">
          <a:avLst>
            <a:gd name="adj" fmla="val 37521"/>
          </a:avLst>
        </a:prstGeom>
        <a:solidFill>
          <a:srgbClr val="006600"/>
        </a:solidFill>
        <a:ln w="381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i="0" baseline="0">
              <a:solidFill>
                <a:schemeClr val="lt1"/>
              </a:solidFill>
              <a:effectLst/>
              <a:latin typeface="+mn-lt"/>
              <a:ea typeface="+mn-ea"/>
              <a:cs typeface="+mn-cs"/>
            </a:rPr>
            <a:t>Plastic Packaging</a:t>
          </a:r>
          <a:endParaRPr lang="en-US">
            <a:effectLst/>
          </a:endParaRPr>
        </a:p>
      </xdr:txBody>
    </xdr:sp>
    <xdr:clientData/>
  </xdr:twoCellAnchor>
  <xdr:twoCellAnchor>
    <xdr:from>
      <xdr:col>10</xdr:col>
      <xdr:colOff>604837</xdr:colOff>
      <xdr:row>41</xdr:row>
      <xdr:rowOff>123825</xdr:rowOff>
    </xdr:from>
    <xdr:to>
      <xdr:col>12</xdr:col>
      <xdr:colOff>208597</xdr:colOff>
      <xdr:row>42</xdr:row>
      <xdr:rowOff>76200</xdr:rowOff>
    </xdr:to>
    <xdr:sp macro="" textlink="RRR!H139">
      <xdr:nvSpPr>
        <xdr:cNvPr id="160" name="Rectangle 159">
          <a:extLst>
            <a:ext uri="{FF2B5EF4-FFF2-40B4-BE49-F238E27FC236}">
              <a16:creationId xmlns:a16="http://schemas.microsoft.com/office/drawing/2014/main" id="{D52D6078-36DE-455B-A86C-DA0464A040DE}"/>
            </a:ext>
          </a:extLst>
        </xdr:cNvPr>
        <xdr:cNvSpPr/>
      </xdr:nvSpPr>
      <xdr:spPr>
        <a:xfrm>
          <a:off x="6700837" y="7934325"/>
          <a:ext cx="822960" cy="142875"/>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CA0B98C-FEE0-47F7-9EFF-3D860465CA71}" type="TxLink">
            <a:rPr lang="en-US" sz="800" b="1" i="0" u="none" strike="noStrike">
              <a:solidFill>
                <a:schemeClr val="tx1"/>
              </a:solidFill>
              <a:latin typeface="Calibri"/>
              <a:ea typeface="+mn-ea"/>
              <a:cs typeface="Calibri"/>
            </a:rPr>
            <a:pPr marL="0" indent="0" algn="ctr"/>
            <a:t>CRR (Grm/DP)</a:t>
          </a:fld>
          <a:endParaRPr lang="en-US" sz="800" b="1" i="0" u="none" strike="noStrike">
            <a:solidFill>
              <a:schemeClr val="tx1"/>
            </a:solidFill>
            <a:latin typeface="Calibri"/>
            <a:ea typeface="+mn-ea"/>
            <a:cs typeface="Calibri"/>
          </a:endParaRPr>
        </a:p>
      </xdr:txBody>
    </xdr:sp>
    <xdr:clientData/>
  </xdr:twoCellAnchor>
  <xdr:twoCellAnchor>
    <xdr:from>
      <xdr:col>10</xdr:col>
      <xdr:colOff>604837</xdr:colOff>
      <xdr:row>42</xdr:row>
      <xdr:rowOff>127000</xdr:rowOff>
    </xdr:from>
    <xdr:to>
      <xdr:col>12</xdr:col>
      <xdr:colOff>208597</xdr:colOff>
      <xdr:row>43</xdr:row>
      <xdr:rowOff>79375</xdr:rowOff>
    </xdr:to>
    <xdr:sp macro="" textlink="RRR!H140">
      <xdr:nvSpPr>
        <xdr:cNvPr id="161" name="Rectangle 160">
          <a:extLst>
            <a:ext uri="{FF2B5EF4-FFF2-40B4-BE49-F238E27FC236}">
              <a16:creationId xmlns:a16="http://schemas.microsoft.com/office/drawing/2014/main" id="{867269CA-2FD8-4119-B181-2D9BFFEBB175}"/>
            </a:ext>
          </a:extLst>
        </xdr:cNvPr>
        <xdr:cNvSpPr/>
      </xdr:nvSpPr>
      <xdr:spPr>
        <a:xfrm>
          <a:off x="6700837" y="8128000"/>
          <a:ext cx="822960" cy="142875"/>
        </a:xfrm>
        <a:prstGeom prst="rect">
          <a:avLst/>
        </a:prstGeom>
        <a:solidFill>
          <a:srgbClr val="FFF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1CC7ACC4-846C-42E4-AA84-F35A6E970389}" type="TxLink">
            <a:rPr lang="en-US" sz="800" b="1" i="0" u="none" strike="noStrike">
              <a:solidFill>
                <a:schemeClr val="tx1"/>
              </a:solidFill>
              <a:latin typeface="Calibri"/>
              <a:ea typeface="+mn-ea"/>
              <a:cs typeface="Calibri"/>
            </a:rPr>
            <a:pPr marL="0" indent="0" algn="ctr"/>
            <a:t>RRR (Grm/DP)</a:t>
          </a:fld>
          <a:endParaRPr lang="en-US" sz="800" b="1" i="0" u="none" strike="noStrike">
            <a:solidFill>
              <a:schemeClr val="tx1"/>
            </a:solidFill>
            <a:latin typeface="Calibri"/>
            <a:ea typeface="+mn-ea"/>
            <a:cs typeface="Calibri"/>
          </a:endParaRPr>
        </a:p>
      </xdr:txBody>
    </xdr:sp>
    <xdr:clientData/>
  </xdr:twoCellAnchor>
  <xdr:twoCellAnchor>
    <xdr:from>
      <xdr:col>10</xdr:col>
      <xdr:colOff>604837</xdr:colOff>
      <xdr:row>43</xdr:row>
      <xdr:rowOff>130175</xdr:rowOff>
    </xdr:from>
    <xdr:to>
      <xdr:col>12</xdr:col>
      <xdr:colOff>208597</xdr:colOff>
      <xdr:row>44</xdr:row>
      <xdr:rowOff>82550</xdr:rowOff>
    </xdr:to>
    <xdr:sp macro="" textlink="RRR!H141">
      <xdr:nvSpPr>
        <xdr:cNvPr id="162" name="Rectangle 161">
          <a:extLst>
            <a:ext uri="{FF2B5EF4-FFF2-40B4-BE49-F238E27FC236}">
              <a16:creationId xmlns:a16="http://schemas.microsoft.com/office/drawing/2014/main" id="{9705BC2B-AFDA-4476-BC0A-3EC9458F5A65}"/>
            </a:ext>
          </a:extLst>
        </xdr:cNvPr>
        <xdr:cNvSpPr/>
      </xdr:nvSpPr>
      <xdr:spPr>
        <a:xfrm>
          <a:off x="6700837" y="8321675"/>
          <a:ext cx="822960" cy="142875"/>
        </a:xfrm>
        <a:prstGeom prst="rect">
          <a:avLst/>
        </a:prstGeom>
        <a:solidFill>
          <a:srgbClr val="FFFF9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D119EFFB-5324-42C7-877C-4D6B3DBACA91}" type="TxLink">
            <a:rPr lang="en-US" sz="800" b="1" i="0" u="none" strike="noStrike">
              <a:solidFill>
                <a:schemeClr val="tx1"/>
              </a:solidFill>
              <a:latin typeface="Calibri"/>
              <a:ea typeface="+mn-ea"/>
              <a:cs typeface="Calibri"/>
            </a:rPr>
            <a:pPr marL="0" indent="0" algn="ctr"/>
            <a:t>YTD Grm</a:t>
          </a:fld>
          <a:endParaRPr lang="en-US" sz="800" b="1" i="0" u="none" strike="noStrike">
            <a:solidFill>
              <a:schemeClr val="tx1"/>
            </a:solidFill>
            <a:latin typeface="Calibri"/>
            <a:ea typeface="+mn-ea"/>
            <a:cs typeface="Calibri"/>
          </a:endParaRPr>
        </a:p>
      </xdr:txBody>
    </xdr:sp>
    <xdr:clientData/>
  </xdr:twoCellAnchor>
  <xdr:twoCellAnchor>
    <xdr:from>
      <xdr:col>10</xdr:col>
      <xdr:colOff>604837</xdr:colOff>
      <xdr:row>44</xdr:row>
      <xdr:rowOff>133350</xdr:rowOff>
    </xdr:from>
    <xdr:to>
      <xdr:col>12</xdr:col>
      <xdr:colOff>208597</xdr:colOff>
      <xdr:row>45</xdr:row>
      <xdr:rowOff>85725</xdr:rowOff>
    </xdr:to>
    <xdr:sp macro="" textlink="RRR!H142">
      <xdr:nvSpPr>
        <xdr:cNvPr id="163" name="Rectangle 162">
          <a:extLst>
            <a:ext uri="{FF2B5EF4-FFF2-40B4-BE49-F238E27FC236}">
              <a16:creationId xmlns:a16="http://schemas.microsoft.com/office/drawing/2014/main" id="{7E37D0A4-AC9A-4C90-AD55-96BBE97E45B3}"/>
            </a:ext>
          </a:extLst>
        </xdr:cNvPr>
        <xdr:cNvSpPr/>
      </xdr:nvSpPr>
      <xdr:spPr>
        <a:xfrm>
          <a:off x="6700837" y="8515350"/>
          <a:ext cx="822960" cy="142875"/>
        </a:xfrm>
        <a:prstGeom prst="rect">
          <a:avLst/>
        </a:prstGeom>
        <a:solidFill>
          <a:srgbClr val="FFFF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A309BFC6-10E9-4E65-B202-6199423FEF90}" type="TxLink">
            <a:rPr lang="en-US" sz="800" b="1" i="0" u="none" strike="noStrike">
              <a:solidFill>
                <a:schemeClr val="tx1"/>
              </a:solidFill>
              <a:latin typeface="Calibri"/>
              <a:ea typeface="+mn-ea"/>
              <a:cs typeface="Calibri"/>
            </a:rPr>
            <a:pPr marL="0" indent="0" algn="ctr"/>
            <a:t>YTG Grm</a:t>
          </a:fld>
          <a:endParaRPr lang="en-US" sz="800" b="1" i="0" u="none" strike="noStrike">
            <a:solidFill>
              <a:schemeClr val="tx1"/>
            </a:solidFill>
            <a:latin typeface="Calibri"/>
            <a:ea typeface="+mn-ea"/>
            <a:cs typeface="Calibri"/>
          </a:endParaRPr>
        </a:p>
      </xdr:txBody>
    </xdr:sp>
    <xdr:clientData/>
  </xdr:twoCellAnchor>
  <xdr:twoCellAnchor>
    <xdr:from>
      <xdr:col>12</xdr:col>
      <xdr:colOff>233362</xdr:colOff>
      <xdr:row>41</xdr:row>
      <xdr:rowOff>123825</xdr:rowOff>
    </xdr:from>
    <xdr:to>
      <xdr:col>13</xdr:col>
      <xdr:colOff>355282</xdr:colOff>
      <xdr:row>42</xdr:row>
      <xdr:rowOff>76200</xdr:rowOff>
    </xdr:to>
    <xdr:sp macro="" textlink="RRR!I139">
      <xdr:nvSpPr>
        <xdr:cNvPr id="164" name="Rectangle 163">
          <a:extLst>
            <a:ext uri="{FF2B5EF4-FFF2-40B4-BE49-F238E27FC236}">
              <a16:creationId xmlns:a16="http://schemas.microsoft.com/office/drawing/2014/main" id="{1811A4D4-CD27-48AD-BCB1-CF0AA7D09797}"/>
            </a:ext>
          </a:extLst>
        </xdr:cNvPr>
        <xdr:cNvSpPr/>
      </xdr:nvSpPr>
      <xdr:spPr>
        <a:xfrm>
          <a:off x="7548562" y="7934325"/>
          <a:ext cx="731520" cy="142875"/>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994749D-7A07-40A2-BDA5-0CA95398998D}" type="TxLink">
            <a:rPr lang="en-US" sz="800" b="0" i="0" u="none" strike="noStrike">
              <a:solidFill>
                <a:schemeClr val="tx1"/>
              </a:solidFill>
              <a:latin typeface="Calibri"/>
              <a:ea typeface="+mn-ea"/>
              <a:cs typeface="Calibri"/>
            </a:rPr>
            <a:pPr marL="0" indent="0" algn="ctr"/>
            <a:t>9.400</a:t>
          </a:fld>
          <a:endParaRPr lang="en-US" sz="800" b="0" i="0" u="none" strike="noStrike">
            <a:solidFill>
              <a:schemeClr val="tx1"/>
            </a:solidFill>
            <a:latin typeface="Calibri"/>
            <a:ea typeface="+mn-ea"/>
            <a:cs typeface="Calibri"/>
          </a:endParaRPr>
        </a:p>
      </xdr:txBody>
    </xdr:sp>
    <xdr:clientData/>
  </xdr:twoCellAnchor>
  <xdr:twoCellAnchor>
    <xdr:from>
      <xdr:col>12</xdr:col>
      <xdr:colOff>233362</xdr:colOff>
      <xdr:row>42</xdr:row>
      <xdr:rowOff>127000</xdr:rowOff>
    </xdr:from>
    <xdr:to>
      <xdr:col>13</xdr:col>
      <xdr:colOff>355282</xdr:colOff>
      <xdr:row>43</xdr:row>
      <xdr:rowOff>79375</xdr:rowOff>
    </xdr:to>
    <xdr:sp macro="" textlink="RRR!I140">
      <xdr:nvSpPr>
        <xdr:cNvPr id="165" name="Rectangle 164">
          <a:extLst>
            <a:ext uri="{FF2B5EF4-FFF2-40B4-BE49-F238E27FC236}">
              <a16:creationId xmlns:a16="http://schemas.microsoft.com/office/drawing/2014/main" id="{FAC1F48B-DED7-412B-B0AF-255E18C697C1}"/>
            </a:ext>
          </a:extLst>
        </xdr:cNvPr>
        <xdr:cNvSpPr/>
      </xdr:nvSpPr>
      <xdr:spPr>
        <a:xfrm>
          <a:off x="7548562" y="8128000"/>
          <a:ext cx="731520" cy="142875"/>
        </a:xfrm>
        <a:prstGeom prst="rect">
          <a:avLst/>
        </a:prstGeom>
        <a:solidFill>
          <a:srgbClr val="FFF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F991E56-7714-4446-B804-AA11871DA728}" type="TxLink">
            <a:rPr lang="en-US" sz="800" b="0" i="0" u="none" strike="noStrike">
              <a:solidFill>
                <a:schemeClr val="tx1"/>
              </a:solidFill>
              <a:latin typeface="Calibri"/>
              <a:ea typeface="+mn-ea"/>
              <a:cs typeface="Calibri"/>
            </a:rPr>
            <a:pPr marL="0" indent="0" algn="ctr"/>
            <a:t>7.162</a:t>
          </a:fld>
          <a:endParaRPr lang="en-US" sz="800" b="0" i="0" u="none" strike="noStrike">
            <a:solidFill>
              <a:schemeClr val="tx1"/>
            </a:solidFill>
            <a:latin typeface="Calibri"/>
            <a:ea typeface="+mn-ea"/>
            <a:cs typeface="Calibri"/>
          </a:endParaRPr>
        </a:p>
      </xdr:txBody>
    </xdr:sp>
    <xdr:clientData/>
  </xdr:twoCellAnchor>
  <xdr:twoCellAnchor>
    <xdr:from>
      <xdr:col>12</xdr:col>
      <xdr:colOff>233362</xdr:colOff>
      <xdr:row>43</xdr:row>
      <xdr:rowOff>130175</xdr:rowOff>
    </xdr:from>
    <xdr:to>
      <xdr:col>13</xdr:col>
      <xdr:colOff>355282</xdr:colOff>
      <xdr:row>44</xdr:row>
      <xdr:rowOff>82550</xdr:rowOff>
    </xdr:to>
    <xdr:sp macro="" textlink="RRR!I141">
      <xdr:nvSpPr>
        <xdr:cNvPr id="166" name="Rectangle 165">
          <a:extLst>
            <a:ext uri="{FF2B5EF4-FFF2-40B4-BE49-F238E27FC236}">
              <a16:creationId xmlns:a16="http://schemas.microsoft.com/office/drawing/2014/main" id="{730C57AF-A702-47C5-ACCF-A64563953738}"/>
            </a:ext>
          </a:extLst>
        </xdr:cNvPr>
        <xdr:cNvSpPr/>
      </xdr:nvSpPr>
      <xdr:spPr>
        <a:xfrm>
          <a:off x="7548562" y="8321675"/>
          <a:ext cx="731520" cy="142875"/>
        </a:xfrm>
        <a:prstGeom prst="rect">
          <a:avLst/>
        </a:prstGeom>
        <a:solidFill>
          <a:srgbClr val="FFFF9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5E89C7E7-113C-443D-9721-0B9ADD90932B}" type="TxLink">
            <a:rPr lang="en-US" sz="800" b="0" i="0" u="none" strike="noStrike">
              <a:solidFill>
                <a:schemeClr val="tx1"/>
              </a:solidFill>
              <a:latin typeface="Calibri"/>
              <a:ea typeface="+mn-ea"/>
              <a:cs typeface="Calibri"/>
            </a:rPr>
            <a:pPr marL="0" indent="0" algn="ctr"/>
            <a:t> 1,570,329 </a:t>
          </a:fld>
          <a:endParaRPr lang="en-US" sz="800" b="0" i="0" u="none" strike="noStrike">
            <a:solidFill>
              <a:schemeClr val="tx1"/>
            </a:solidFill>
            <a:latin typeface="Calibri"/>
            <a:ea typeface="+mn-ea"/>
            <a:cs typeface="Calibri"/>
          </a:endParaRPr>
        </a:p>
      </xdr:txBody>
    </xdr:sp>
    <xdr:clientData/>
  </xdr:twoCellAnchor>
  <xdr:twoCellAnchor>
    <xdr:from>
      <xdr:col>12</xdr:col>
      <xdr:colOff>233362</xdr:colOff>
      <xdr:row>44</xdr:row>
      <xdr:rowOff>133350</xdr:rowOff>
    </xdr:from>
    <xdr:to>
      <xdr:col>13</xdr:col>
      <xdr:colOff>355282</xdr:colOff>
      <xdr:row>45</xdr:row>
      <xdr:rowOff>85725</xdr:rowOff>
    </xdr:to>
    <xdr:sp macro="" textlink="RRR!I142">
      <xdr:nvSpPr>
        <xdr:cNvPr id="167" name="Rectangle 166">
          <a:extLst>
            <a:ext uri="{FF2B5EF4-FFF2-40B4-BE49-F238E27FC236}">
              <a16:creationId xmlns:a16="http://schemas.microsoft.com/office/drawing/2014/main" id="{29061BD4-DF3F-48FC-B856-30324CEA0EBD}"/>
            </a:ext>
          </a:extLst>
        </xdr:cNvPr>
        <xdr:cNvSpPr/>
      </xdr:nvSpPr>
      <xdr:spPr>
        <a:xfrm>
          <a:off x="7548562" y="8515350"/>
          <a:ext cx="731520" cy="142875"/>
        </a:xfrm>
        <a:prstGeom prst="rect">
          <a:avLst/>
        </a:prstGeom>
        <a:solidFill>
          <a:srgbClr val="FFFF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73A97F2-4981-4D61-BB2C-16EB325B0BE8}" type="TxLink">
            <a:rPr lang="en-US" sz="800" b="0" i="0" u="none" strike="noStrike">
              <a:solidFill>
                <a:srgbClr val="000000"/>
              </a:solidFill>
              <a:latin typeface="Calibri"/>
              <a:ea typeface="+mn-ea"/>
              <a:cs typeface="Calibri"/>
            </a:rPr>
            <a:pPr marL="0" indent="0" algn="ctr"/>
            <a:t> 18,478,728 </a:t>
          </a:fld>
          <a:endParaRPr lang="en-US" sz="800" b="0" i="0" u="none" strike="noStrike">
            <a:solidFill>
              <a:srgbClr val="000000"/>
            </a:solidFill>
            <a:latin typeface="Calibri"/>
            <a:ea typeface="+mn-ea"/>
            <a:cs typeface="Calibri"/>
          </a:endParaRPr>
        </a:p>
      </xdr:txBody>
    </xdr:sp>
    <xdr:clientData/>
  </xdr:twoCellAnchor>
  <xdr:twoCellAnchor>
    <xdr:from>
      <xdr:col>13</xdr:col>
      <xdr:colOff>476251</xdr:colOff>
      <xdr:row>34</xdr:row>
      <xdr:rowOff>152400</xdr:rowOff>
    </xdr:from>
    <xdr:to>
      <xdr:col>16</xdr:col>
      <xdr:colOff>293371</xdr:colOff>
      <xdr:row>39</xdr:row>
      <xdr:rowOff>133350</xdr:rowOff>
    </xdr:to>
    <xdr:sp macro="" textlink="">
      <xdr:nvSpPr>
        <xdr:cNvPr id="169" name="Rectangle: Rounded Corners 168">
          <a:extLst>
            <a:ext uri="{FF2B5EF4-FFF2-40B4-BE49-F238E27FC236}">
              <a16:creationId xmlns:a16="http://schemas.microsoft.com/office/drawing/2014/main" id="{EAB696CF-20C0-4505-B307-A9F313DE1C5D}"/>
            </a:ext>
          </a:extLst>
        </xdr:cNvPr>
        <xdr:cNvSpPr/>
      </xdr:nvSpPr>
      <xdr:spPr>
        <a:xfrm>
          <a:off x="8401051" y="6629400"/>
          <a:ext cx="1645920" cy="933450"/>
        </a:xfrm>
        <a:prstGeom prst="roundRect">
          <a:avLst>
            <a:gd name="adj" fmla="val 0"/>
          </a:avLst>
        </a:prstGeom>
        <a:solidFill>
          <a:schemeClr val="bg1">
            <a:lumMod val="95000"/>
          </a:schemeClr>
        </a:soli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 </a:t>
          </a:r>
        </a:p>
      </xdr:txBody>
    </xdr:sp>
    <xdr:clientData/>
  </xdr:twoCellAnchor>
  <xdr:twoCellAnchor>
    <xdr:from>
      <xdr:col>14</xdr:col>
      <xdr:colOff>47626</xdr:colOff>
      <xdr:row>34</xdr:row>
      <xdr:rowOff>0</xdr:rowOff>
    </xdr:from>
    <xdr:to>
      <xdr:col>16</xdr:col>
      <xdr:colOff>66676</xdr:colOff>
      <xdr:row>35</xdr:row>
      <xdr:rowOff>38481</xdr:rowOff>
    </xdr:to>
    <xdr:sp macro="" textlink="">
      <xdr:nvSpPr>
        <xdr:cNvPr id="170" name="Rectangle: Rounded Corners 169">
          <a:extLst>
            <a:ext uri="{FF2B5EF4-FFF2-40B4-BE49-F238E27FC236}">
              <a16:creationId xmlns:a16="http://schemas.microsoft.com/office/drawing/2014/main" id="{C9361BA8-7F05-4455-A267-A7D332BEADCE}"/>
            </a:ext>
          </a:extLst>
        </xdr:cNvPr>
        <xdr:cNvSpPr/>
      </xdr:nvSpPr>
      <xdr:spPr>
        <a:xfrm>
          <a:off x="8582026" y="6477000"/>
          <a:ext cx="1238250" cy="228981"/>
        </a:xfrm>
        <a:prstGeom prst="roundRect">
          <a:avLst>
            <a:gd name="adj" fmla="val 37521"/>
          </a:avLst>
        </a:prstGeom>
        <a:solidFill>
          <a:srgbClr val="006600"/>
        </a:solidFill>
        <a:ln w="381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lt1"/>
              </a:solidFill>
              <a:effectLst/>
              <a:latin typeface="+mn-lt"/>
              <a:ea typeface="+mn-ea"/>
              <a:cs typeface="+mn-cs"/>
            </a:rPr>
            <a:t>Total Wastage</a:t>
          </a:r>
          <a:endParaRPr lang="en-US">
            <a:effectLst/>
          </a:endParaRPr>
        </a:p>
      </xdr:txBody>
    </xdr:sp>
    <xdr:clientData/>
  </xdr:twoCellAnchor>
  <xdr:twoCellAnchor>
    <xdr:from>
      <xdr:col>13</xdr:col>
      <xdr:colOff>519112</xdr:colOff>
      <xdr:row>35</xdr:row>
      <xdr:rowOff>114300</xdr:rowOff>
    </xdr:from>
    <xdr:to>
      <xdr:col>15</xdr:col>
      <xdr:colOff>122872</xdr:colOff>
      <xdr:row>36</xdr:row>
      <xdr:rowOff>66675</xdr:rowOff>
    </xdr:to>
    <xdr:sp macro="" textlink="RRR!H113">
      <xdr:nvSpPr>
        <xdr:cNvPr id="171" name="Rectangle 170">
          <a:extLst>
            <a:ext uri="{FF2B5EF4-FFF2-40B4-BE49-F238E27FC236}">
              <a16:creationId xmlns:a16="http://schemas.microsoft.com/office/drawing/2014/main" id="{E55F7E29-67C4-4C9B-95CC-97494FED34CE}"/>
            </a:ext>
          </a:extLst>
        </xdr:cNvPr>
        <xdr:cNvSpPr/>
      </xdr:nvSpPr>
      <xdr:spPr>
        <a:xfrm>
          <a:off x="8443912" y="6781800"/>
          <a:ext cx="822960" cy="142875"/>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C59366C-FC68-467B-8E85-7921F598E2E7}" type="TxLink">
            <a:rPr lang="en-US" sz="800" b="1" i="0" u="none" strike="noStrike">
              <a:solidFill>
                <a:schemeClr val="tx1"/>
              </a:solidFill>
              <a:latin typeface="Calibri"/>
              <a:ea typeface="+mn-ea"/>
              <a:cs typeface="Calibri"/>
            </a:rPr>
            <a:pPr marL="0" indent="0" algn="ctr"/>
            <a:t>CRR (Kg/DP)</a:t>
          </a:fld>
          <a:endParaRPr lang="en-US" sz="800" b="1" i="0" u="none" strike="noStrike">
            <a:solidFill>
              <a:schemeClr val="tx1"/>
            </a:solidFill>
            <a:latin typeface="Calibri"/>
            <a:ea typeface="+mn-ea"/>
            <a:cs typeface="Calibri"/>
          </a:endParaRPr>
        </a:p>
      </xdr:txBody>
    </xdr:sp>
    <xdr:clientData/>
  </xdr:twoCellAnchor>
  <xdr:twoCellAnchor>
    <xdr:from>
      <xdr:col>13</xdr:col>
      <xdr:colOff>519112</xdr:colOff>
      <xdr:row>36</xdr:row>
      <xdr:rowOff>117475</xdr:rowOff>
    </xdr:from>
    <xdr:to>
      <xdr:col>15</xdr:col>
      <xdr:colOff>122872</xdr:colOff>
      <xdr:row>37</xdr:row>
      <xdr:rowOff>69850</xdr:rowOff>
    </xdr:to>
    <xdr:sp macro="" textlink="RRR!H114">
      <xdr:nvSpPr>
        <xdr:cNvPr id="172" name="Rectangle 171">
          <a:extLst>
            <a:ext uri="{FF2B5EF4-FFF2-40B4-BE49-F238E27FC236}">
              <a16:creationId xmlns:a16="http://schemas.microsoft.com/office/drawing/2014/main" id="{03126D14-475C-4694-999E-45EDF5A032DC}"/>
            </a:ext>
          </a:extLst>
        </xdr:cNvPr>
        <xdr:cNvSpPr/>
      </xdr:nvSpPr>
      <xdr:spPr>
        <a:xfrm>
          <a:off x="8443912" y="6975475"/>
          <a:ext cx="822960" cy="142875"/>
        </a:xfrm>
        <a:prstGeom prst="rect">
          <a:avLst/>
        </a:prstGeom>
        <a:solidFill>
          <a:srgbClr val="FFF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E915F456-30C3-4294-A328-B23844DE1D77}" type="TxLink">
            <a:rPr lang="en-US" sz="800" b="1" i="0" u="none" strike="noStrike">
              <a:solidFill>
                <a:schemeClr val="tx1"/>
              </a:solidFill>
              <a:latin typeface="Calibri"/>
              <a:ea typeface="+mn-ea"/>
              <a:cs typeface="Calibri"/>
            </a:rPr>
            <a:pPr marL="0" indent="0" algn="ctr"/>
            <a:t>RRR (Kg/DP)</a:t>
          </a:fld>
          <a:endParaRPr lang="en-US" sz="800" b="1" i="0" u="none" strike="noStrike">
            <a:solidFill>
              <a:schemeClr val="tx1"/>
            </a:solidFill>
            <a:latin typeface="Calibri"/>
            <a:ea typeface="+mn-ea"/>
            <a:cs typeface="Calibri"/>
          </a:endParaRPr>
        </a:p>
      </xdr:txBody>
    </xdr:sp>
    <xdr:clientData/>
  </xdr:twoCellAnchor>
  <xdr:twoCellAnchor>
    <xdr:from>
      <xdr:col>13</xdr:col>
      <xdr:colOff>519112</xdr:colOff>
      <xdr:row>37</xdr:row>
      <xdr:rowOff>120650</xdr:rowOff>
    </xdr:from>
    <xdr:to>
      <xdr:col>15</xdr:col>
      <xdr:colOff>122872</xdr:colOff>
      <xdr:row>38</xdr:row>
      <xdr:rowOff>73025</xdr:rowOff>
    </xdr:to>
    <xdr:sp macro="" textlink="RRR!H115">
      <xdr:nvSpPr>
        <xdr:cNvPr id="173" name="Rectangle 172">
          <a:extLst>
            <a:ext uri="{FF2B5EF4-FFF2-40B4-BE49-F238E27FC236}">
              <a16:creationId xmlns:a16="http://schemas.microsoft.com/office/drawing/2014/main" id="{D0B1EDC1-5B02-4DEB-8864-BBBB6285BEBE}"/>
            </a:ext>
          </a:extLst>
        </xdr:cNvPr>
        <xdr:cNvSpPr/>
      </xdr:nvSpPr>
      <xdr:spPr>
        <a:xfrm>
          <a:off x="8443912" y="7169150"/>
          <a:ext cx="822960" cy="142875"/>
        </a:xfrm>
        <a:prstGeom prst="rect">
          <a:avLst/>
        </a:prstGeom>
        <a:solidFill>
          <a:srgbClr val="FFFF9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D86C818C-C6ED-41E2-A354-4185DC8FE09D}" type="TxLink">
            <a:rPr lang="en-US" sz="800" b="1" i="0" u="none" strike="noStrike">
              <a:solidFill>
                <a:schemeClr val="tx1"/>
              </a:solidFill>
              <a:latin typeface="Calibri"/>
              <a:ea typeface="+mn-ea"/>
              <a:cs typeface="Calibri"/>
            </a:rPr>
            <a:pPr marL="0" indent="0" algn="ctr"/>
            <a:t>YTD Kg</a:t>
          </a:fld>
          <a:endParaRPr lang="en-US" sz="800" b="1" i="0" u="none" strike="noStrike">
            <a:solidFill>
              <a:schemeClr val="tx1"/>
            </a:solidFill>
            <a:latin typeface="Calibri"/>
            <a:ea typeface="+mn-ea"/>
            <a:cs typeface="Calibri"/>
          </a:endParaRPr>
        </a:p>
      </xdr:txBody>
    </xdr:sp>
    <xdr:clientData/>
  </xdr:twoCellAnchor>
  <xdr:twoCellAnchor>
    <xdr:from>
      <xdr:col>13</xdr:col>
      <xdr:colOff>519112</xdr:colOff>
      <xdr:row>38</xdr:row>
      <xdr:rowOff>123825</xdr:rowOff>
    </xdr:from>
    <xdr:to>
      <xdr:col>15</xdr:col>
      <xdr:colOff>122872</xdr:colOff>
      <xdr:row>39</xdr:row>
      <xdr:rowOff>76200</xdr:rowOff>
    </xdr:to>
    <xdr:sp macro="" textlink="RRR!H116">
      <xdr:nvSpPr>
        <xdr:cNvPr id="174" name="Rectangle 173">
          <a:extLst>
            <a:ext uri="{FF2B5EF4-FFF2-40B4-BE49-F238E27FC236}">
              <a16:creationId xmlns:a16="http://schemas.microsoft.com/office/drawing/2014/main" id="{F4E01FBF-8155-40C7-A723-62AFD3AF1425}"/>
            </a:ext>
          </a:extLst>
        </xdr:cNvPr>
        <xdr:cNvSpPr/>
      </xdr:nvSpPr>
      <xdr:spPr>
        <a:xfrm>
          <a:off x="8443912" y="7362825"/>
          <a:ext cx="822960" cy="142875"/>
        </a:xfrm>
        <a:prstGeom prst="rect">
          <a:avLst/>
        </a:prstGeom>
        <a:solidFill>
          <a:srgbClr val="FFFF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81A9543F-4FFF-418A-90CF-6B61A65EC7FF}" type="TxLink">
            <a:rPr lang="en-US" sz="800" b="1" i="0" u="none" strike="noStrike">
              <a:solidFill>
                <a:schemeClr val="tx1"/>
              </a:solidFill>
              <a:latin typeface="Calibri"/>
              <a:ea typeface="+mn-ea"/>
              <a:cs typeface="Calibri"/>
            </a:rPr>
            <a:pPr marL="0" indent="0" algn="ctr"/>
            <a:t>YTG Kg</a:t>
          </a:fld>
          <a:endParaRPr lang="en-US" sz="800" b="1" i="0" u="none" strike="noStrike">
            <a:solidFill>
              <a:schemeClr val="tx1"/>
            </a:solidFill>
            <a:latin typeface="Calibri"/>
            <a:ea typeface="+mn-ea"/>
            <a:cs typeface="Calibri"/>
          </a:endParaRPr>
        </a:p>
      </xdr:txBody>
    </xdr:sp>
    <xdr:clientData/>
  </xdr:twoCellAnchor>
  <xdr:twoCellAnchor>
    <xdr:from>
      <xdr:col>15</xdr:col>
      <xdr:colOff>147637</xdr:colOff>
      <xdr:row>35</xdr:row>
      <xdr:rowOff>114300</xdr:rowOff>
    </xdr:from>
    <xdr:to>
      <xdr:col>16</xdr:col>
      <xdr:colOff>269557</xdr:colOff>
      <xdr:row>36</xdr:row>
      <xdr:rowOff>66675</xdr:rowOff>
    </xdr:to>
    <xdr:sp macro="" textlink="RRR!I165">
      <xdr:nvSpPr>
        <xdr:cNvPr id="175" name="Rectangle 174">
          <a:extLst>
            <a:ext uri="{FF2B5EF4-FFF2-40B4-BE49-F238E27FC236}">
              <a16:creationId xmlns:a16="http://schemas.microsoft.com/office/drawing/2014/main" id="{24D2F295-ABAE-4444-9F81-EE7C7712F2EB}"/>
            </a:ext>
          </a:extLst>
        </xdr:cNvPr>
        <xdr:cNvSpPr/>
      </xdr:nvSpPr>
      <xdr:spPr>
        <a:xfrm>
          <a:off x="9291637" y="6781800"/>
          <a:ext cx="731520" cy="142875"/>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8A0E980-D35A-499D-B07F-5430D939AB6F}" type="TxLink">
            <a:rPr lang="en-US" sz="800" b="0" i="0" u="none" strike="noStrike">
              <a:solidFill>
                <a:schemeClr val="tx1"/>
              </a:solidFill>
              <a:latin typeface="Calibri"/>
              <a:ea typeface="+mn-ea"/>
              <a:cs typeface="Calibri"/>
            </a:rPr>
            <a:pPr marL="0" indent="0" algn="ctr"/>
            <a:t>0.260</a:t>
          </a:fld>
          <a:endParaRPr lang="en-US" sz="800" b="0" i="0" u="none" strike="noStrike">
            <a:solidFill>
              <a:schemeClr val="tx1"/>
            </a:solidFill>
            <a:latin typeface="Calibri"/>
            <a:ea typeface="+mn-ea"/>
            <a:cs typeface="Calibri"/>
          </a:endParaRPr>
        </a:p>
      </xdr:txBody>
    </xdr:sp>
    <xdr:clientData/>
  </xdr:twoCellAnchor>
  <xdr:twoCellAnchor>
    <xdr:from>
      <xdr:col>15</xdr:col>
      <xdr:colOff>147637</xdr:colOff>
      <xdr:row>36</xdr:row>
      <xdr:rowOff>117475</xdr:rowOff>
    </xdr:from>
    <xdr:to>
      <xdr:col>16</xdr:col>
      <xdr:colOff>269557</xdr:colOff>
      <xdr:row>37</xdr:row>
      <xdr:rowOff>69850</xdr:rowOff>
    </xdr:to>
    <xdr:sp macro="" textlink="RRR!I166">
      <xdr:nvSpPr>
        <xdr:cNvPr id="176" name="Rectangle 175">
          <a:extLst>
            <a:ext uri="{FF2B5EF4-FFF2-40B4-BE49-F238E27FC236}">
              <a16:creationId xmlns:a16="http://schemas.microsoft.com/office/drawing/2014/main" id="{96F227B8-D9C8-4846-9922-D9A050067BEA}"/>
            </a:ext>
          </a:extLst>
        </xdr:cNvPr>
        <xdr:cNvSpPr/>
      </xdr:nvSpPr>
      <xdr:spPr>
        <a:xfrm>
          <a:off x="9291637" y="6975475"/>
          <a:ext cx="731520" cy="142875"/>
        </a:xfrm>
        <a:prstGeom prst="rect">
          <a:avLst/>
        </a:prstGeom>
        <a:solidFill>
          <a:srgbClr val="FFF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2BF4524-9C16-4FC2-8593-8869110C54EE}" type="TxLink">
            <a:rPr lang="en-US" sz="800" b="0" i="0" u="none" strike="noStrike">
              <a:solidFill>
                <a:schemeClr val="tx1"/>
              </a:solidFill>
              <a:latin typeface="Calibri"/>
              <a:ea typeface="+mn-ea"/>
              <a:cs typeface="Calibri"/>
            </a:rPr>
            <a:pPr marL="0" indent="0" algn="ctr"/>
            <a:t>0.239</a:t>
          </a:fld>
          <a:endParaRPr lang="en-US" sz="800" b="0" i="0" u="none" strike="noStrike">
            <a:solidFill>
              <a:schemeClr val="tx1"/>
            </a:solidFill>
            <a:latin typeface="Calibri"/>
            <a:ea typeface="+mn-ea"/>
            <a:cs typeface="Calibri"/>
          </a:endParaRPr>
        </a:p>
      </xdr:txBody>
    </xdr:sp>
    <xdr:clientData/>
  </xdr:twoCellAnchor>
  <xdr:twoCellAnchor>
    <xdr:from>
      <xdr:col>15</xdr:col>
      <xdr:colOff>147637</xdr:colOff>
      <xdr:row>37</xdr:row>
      <xdr:rowOff>120650</xdr:rowOff>
    </xdr:from>
    <xdr:to>
      <xdr:col>16</xdr:col>
      <xdr:colOff>269557</xdr:colOff>
      <xdr:row>38</xdr:row>
      <xdr:rowOff>73025</xdr:rowOff>
    </xdr:to>
    <xdr:sp macro="" textlink="RRR!I167">
      <xdr:nvSpPr>
        <xdr:cNvPr id="177" name="Rectangle 176">
          <a:extLst>
            <a:ext uri="{FF2B5EF4-FFF2-40B4-BE49-F238E27FC236}">
              <a16:creationId xmlns:a16="http://schemas.microsoft.com/office/drawing/2014/main" id="{44999E86-1C32-48D0-94D7-5676ACECA8DC}"/>
            </a:ext>
          </a:extLst>
        </xdr:cNvPr>
        <xdr:cNvSpPr/>
      </xdr:nvSpPr>
      <xdr:spPr>
        <a:xfrm>
          <a:off x="9291637" y="7169150"/>
          <a:ext cx="731520" cy="142875"/>
        </a:xfrm>
        <a:prstGeom prst="rect">
          <a:avLst/>
        </a:prstGeom>
        <a:solidFill>
          <a:srgbClr val="FFFF9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76A9192-B80B-4A35-9682-8FFF970450F3}" type="TxLink">
            <a:rPr lang="en-US" sz="800" b="0" i="0" u="none" strike="noStrike">
              <a:solidFill>
                <a:schemeClr val="tx1"/>
              </a:solidFill>
              <a:latin typeface="Calibri"/>
              <a:ea typeface="+mn-ea"/>
              <a:cs typeface="Calibri"/>
            </a:rPr>
            <a:pPr marL="0" indent="0" algn="ctr"/>
            <a:t> 43,484 </a:t>
          </a:fld>
          <a:endParaRPr lang="en-US" sz="800" b="0" i="0" u="none" strike="noStrike">
            <a:solidFill>
              <a:schemeClr val="tx1"/>
            </a:solidFill>
            <a:latin typeface="Calibri"/>
            <a:ea typeface="+mn-ea"/>
            <a:cs typeface="Calibri"/>
          </a:endParaRPr>
        </a:p>
      </xdr:txBody>
    </xdr:sp>
    <xdr:clientData/>
  </xdr:twoCellAnchor>
  <xdr:twoCellAnchor>
    <xdr:from>
      <xdr:col>15</xdr:col>
      <xdr:colOff>147637</xdr:colOff>
      <xdr:row>38</xdr:row>
      <xdr:rowOff>123825</xdr:rowOff>
    </xdr:from>
    <xdr:to>
      <xdr:col>16</xdr:col>
      <xdr:colOff>269557</xdr:colOff>
      <xdr:row>39</xdr:row>
      <xdr:rowOff>76200</xdr:rowOff>
    </xdr:to>
    <xdr:sp macro="" textlink="RRR!I168">
      <xdr:nvSpPr>
        <xdr:cNvPr id="178" name="Rectangle 177">
          <a:extLst>
            <a:ext uri="{FF2B5EF4-FFF2-40B4-BE49-F238E27FC236}">
              <a16:creationId xmlns:a16="http://schemas.microsoft.com/office/drawing/2014/main" id="{FEB981B9-DB2E-437B-BBC1-1E10AC08022C}"/>
            </a:ext>
          </a:extLst>
        </xdr:cNvPr>
        <xdr:cNvSpPr/>
      </xdr:nvSpPr>
      <xdr:spPr>
        <a:xfrm>
          <a:off x="9291637" y="7362825"/>
          <a:ext cx="731520" cy="142875"/>
        </a:xfrm>
        <a:prstGeom prst="rect">
          <a:avLst/>
        </a:prstGeom>
        <a:solidFill>
          <a:srgbClr val="FFFF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89364F9-EDEF-4531-98EA-241DB9A9BEAD}" type="TxLink">
            <a:rPr lang="en-US" sz="800" b="0" i="0" u="none" strike="noStrike">
              <a:solidFill>
                <a:srgbClr val="000000"/>
              </a:solidFill>
              <a:latin typeface="Calibri"/>
              <a:ea typeface="+mn-ea"/>
              <a:cs typeface="Calibri"/>
            </a:rPr>
            <a:pPr marL="0" indent="0" algn="ctr"/>
            <a:t> 617,363 </a:t>
          </a:fld>
          <a:endParaRPr lang="en-US" sz="800" b="0" i="0" u="none" strike="noStrike">
            <a:solidFill>
              <a:srgbClr val="000000"/>
            </a:solidFill>
            <a:latin typeface="Calibri"/>
            <a:ea typeface="+mn-ea"/>
            <a:cs typeface="Calibri"/>
          </a:endParaRPr>
        </a:p>
      </xdr:txBody>
    </xdr:sp>
    <xdr:clientData/>
  </xdr:twoCellAnchor>
  <xdr:twoCellAnchor>
    <xdr:from>
      <xdr:col>13</xdr:col>
      <xdr:colOff>476251</xdr:colOff>
      <xdr:row>40</xdr:row>
      <xdr:rowOff>171450</xdr:rowOff>
    </xdr:from>
    <xdr:to>
      <xdr:col>16</xdr:col>
      <xdr:colOff>293371</xdr:colOff>
      <xdr:row>45</xdr:row>
      <xdr:rowOff>152400</xdr:rowOff>
    </xdr:to>
    <xdr:sp macro="" textlink="">
      <xdr:nvSpPr>
        <xdr:cNvPr id="179" name="Rectangle: Rounded Corners 178">
          <a:extLst>
            <a:ext uri="{FF2B5EF4-FFF2-40B4-BE49-F238E27FC236}">
              <a16:creationId xmlns:a16="http://schemas.microsoft.com/office/drawing/2014/main" id="{408D63D6-B773-43E6-A889-5637EF1DCAEE}"/>
            </a:ext>
          </a:extLst>
        </xdr:cNvPr>
        <xdr:cNvSpPr/>
      </xdr:nvSpPr>
      <xdr:spPr>
        <a:xfrm>
          <a:off x="8401051" y="7791450"/>
          <a:ext cx="1645920" cy="933450"/>
        </a:xfrm>
        <a:prstGeom prst="roundRect">
          <a:avLst>
            <a:gd name="adj" fmla="val 0"/>
          </a:avLst>
        </a:prstGeom>
        <a:solidFill>
          <a:schemeClr val="bg1">
            <a:lumMod val="95000"/>
          </a:schemeClr>
        </a:soli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 </a:t>
          </a:r>
        </a:p>
      </xdr:txBody>
    </xdr:sp>
    <xdr:clientData/>
  </xdr:twoCellAnchor>
  <xdr:twoCellAnchor>
    <xdr:from>
      <xdr:col>14</xdr:col>
      <xdr:colOff>47626</xdr:colOff>
      <xdr:row>40</xdr:row>
      <xdr:rowOff>19050</xdr:rowOff>
    </xdr:from>
    <xdr:to>
      <xdr:col>16</xdr:col>
      <xdr:colOff>66676</xdr:colOff>
      <xdr:row>41</xdr:row>
      <xdr:rowOff>57531</xdr:rowOff>
    </xdr:to>
    <xdr:sp macro="" textlink="">
      <xdr:nvSpPr>
        <xdr:cNvPr id="180" name="Rectangle: Rounded Corners 179">
          <a:extLst>
            <a:ext uri="{FF2B5EF4-FFF2-40B4-BE49-F238E27FC236}">
              <a16:creationId xmlns:a16="http://schemas.microsoft.com/office/drawing/2014/main" id="{A9BEA4F3-36C5-4EBE-8DC6-8795B10568CB}"/>
            </a:ext>
          </a:extLst>
        </xdr:cNvPr>
        <xdr:cNvSpPr/>
      </xdr:nvSpPr>
      <xdr:spPr>
        <a:xfrm>
          <a:off x="8582026" y="7639050"/>
          <a:ext cx="1238250" cy="228981"/>
        </a:xfrm>
        <a:prstGeom prst="roundRect">
          <a:avLst>
            <a:gd name="adj" fmla="val 37521"/>
          </a:avLst>
        </a:prstGeom>
        <a:solidFill>
          <a:srgbClr val="006600"/>
        </a:solidFill>
        <a:ln w="381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lt1"/>
              </a:solidFill>
              <a:effectLst/>
              <a:latin typeface="+mn-lt"/>
              <a:ea typeface="+mn-ea"/>
              <a:cs typeface="+mn-cs"/>
            </a:rPr>
            <a:t>Scope 3</a:t>
          </a:r>
          <a:endParaRPr lang="en-US">
            <a:effectLst/>
          </a:endParaRPr>
        </a:p>
      </xdr:txBody>
    </xdr:sp>
    <xdr:clientData/>
  </xdr:twoCellAnchor>
  <xdr:twoCellAnchor>
    <xdr:from>
      <xdr:col>13</xdr:col>
      <xdr:colOff>519112</xdr:colOff>
      <xdr:row>41</xdr:row>
      <xdr:rowOff>133350</xdr:rowOff>
    </xdr:from>
    <xdr:to>
      <xdr:col>15</xdr:col>
      <xdr:colOff>305752</xdr:colOff>
      <xdr:row>42</xdr:row>
      <xdr:rowOff>85725</xdr:rowOff>
    </xdr:to>
    <xdr:sp macro="" textlink="RRR!H192">
      <xdr:nvSpPr>
        <xdr:cNvPr id="181" name="Rectangle 180">
          <a:extLst>
            <a:ext uri="{FF2B5EF4-FFF2-40B4-BE49-F238E27FC236}">
              <a16:creationId xmlns:a16="http://schemas.microsoft.com/office/drawing/2014/main" id="{AB7BB6B0-0EAA-4B3A-90BC-002E9B378A82}"/>
            </a:ext>
          </a:extLst>
        </xdr:cNvPr>
        <xdr:cNvSpPr/>
      </xdr:nvSpPr>
      <xdr:spPr>
        <a:xfrm>
          <a:off x="8443912" y="7943850"/>
          <a:ext cx="1005840" cy="142875"/>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6F99D0F-D80B-40FE-B730-C8E8A87BBB4C}" type="TxLink">
            <a:rPr lang="en-US" sz="800" b="1" i="0" u="none" strike="noStrike">
              <a:solidFill>
                <a:schemeClr val="tx1"/>
              </a:solidFill>
              <a:latin typeface="Calibri"/>
              <a:ea typeface="+mn-ea"/>
              <a:cs typeface="Calibri"/>
            </a:rPr>
            <a:pPr marL="0" indent="0" algn="ctr"/>
            <a:t>CRR (Ton CO2/DP)</a:t>
          </a:fld>
          <a:endParaRPr lang="en-US" sz="800" b="1" i="0" u="none" strike="noStrike">
            <a:solidFill>
              <a:schemeClr val="tx1"/>
            </a:solidFill>
            <a:latin typeface="Calibri"/>
            <a:ea typeface="+mn-ea"/>
            <a:cs typeface="Calibri"/>
          </a:endParaRPr>
        </a:p>
      </xdr:txBody>
    </xdr:sp>
    <xdr:clientData/>
  </xdr:twoCellAnchor>
  <xdr:twoCellAnchor>
    <xdr:from>
      <xdr:col>13</xdr:col>
      <xdr:colOff>519112</xdr:colOff>
      <xdr:row>42</xdr:row>
      <xdr:rowOff>136525</xdr:rowOff>
    </xdr:from>
    <xdr:to>
      <xdr:col>15</xdr:col>
      <xdr:colOff>305752</xdr:colOff>
      <xdr:row>43</xdr:row>
      <xdr:rowOff>88900</xdr:rowOff>
    </xdr:to>
    <xdr:sp macro="" textlink="RRR!H193">
      <xdr:nvSpPr>
        <xdr:cNvPr id="182" name="Rectangle 181">
          <a:extLst>
            <a:ext uri="{FF2B5EF4-FFF2-40B4-BE49-F238E27FC236}">
              <a16:creationId xmlns:a16="http://schemas.microsoft.com/office/drawing/2014/main" id="{2EF0E958-4B84-414A-8E48-F1B47142CB10}"/>
            </a:ext>
          </a:extLst>
        </xdr:cNvPr>
        <xdr:cNvSpPr/>
      </xdr:nvSpPr>
      <xdr:spPr>
        <a:xfrm>
          <a:off x="8443912" y="8137525"/>
          <a:ext cx="1005840" cy="142875"/>
        </a:xfrm>
        <a:prstGeom prst="rect">
          <a:avLst/>
        </a:prstGeom>
        <a:solidFill>
          <a:srgbClr val="FFF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F0929923-BACC-4A10-9AF6-BC2C441647D8}" type="TxLink">
            <a:rPr lang="en-US" sz="800" b="1" i="0" u="none" strike="noStrike">
              <a:solidFill>
                <a:schemeClr val="tx1"/>
              </a:solidFill>
              <a:latin typeface="Calibri"/>
              <a:ea typeface="+mn-ea"/>
              <a:cs typeface="Calibri"/>
            </a:rPr>
            <a:pPr marL="0" indent="0" algn="ctr"/>
            <a:t>RRR (Ton CO2/DP)</a:t>
          </a:fld>
          <a:endParaRPr lang="en-US" sz="800" b="1" i="0" u="none" strike="noStrike">
            <a:solidFill>
              <a:schemeClr val="tx1"/>
            </a:solidFill>
            <a:latin typeface="Calibri"/>
            <a:ea typeface="+mn-ea"/>
            <a:cs typeface="Calibri"/>
          </a:endParaRPr>
        </a:p>
      </xdr:txBody>
    </xdr:sp>
    <xdr:clientData/>
  </xdr:twoCellAnchor>
  <xdr:twoCellAnchor>
    <xdr:from>
      <xdr:col>13</xdr:col>
      <xdr:colOff>519112</xdr:colOff>
      <xdr:row>43</xdr:row>
      <xdr:rowOff>139700</xdr:rowOff>
    </xdr:from>
    <xdr:to>
      <xdr:col>15</xdr:col>
      <xdr:colOff>305752</xdr:colOff>
      <xdr:row>44</xdr:row>
      <xdr:rowOff>92075</xdr:rowOff>
    </xdr:to>
    <xdr:sp macro="" textlink="RRR!H194">
      <xdr:nvSpPr>
        <xdr:cNvPr id="183" name="Rectangle 182">
          <a:extLst>
            <a:ext uri="{FF2B5EF4-FFF2-40B4-BE49-F238E27FC236}">
              <a16:creationId xmlns:a16="http://schemas.microsoft.com/office/drawing/2014/main" id="{505CCE33-0C45-4909-9A22-CC92CA5FA027}"/>
            </a:ext>
          </a:extLst>
        </xdr:cNvPr>
        <xdr:cNvSpPr/>
      </xdr:nvSpPr>
      <xdr:spPr>
        <a:xfrm>
          <a:off x="8443912" y="8331200"/>
          <a:ext cx="1005840" cy="142875"/>
        </a:xfrm>
        <a:prstGeom prst="rect">
          <a:avLst/>
        </a:prstGeom>
        <a:solidFill>
          <a:srgbClr val="FFFF9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53C4840A-E5C8-43E4-8A49-80E9E94348F8}" type="TxLink">
            <a:rPr lang="en-US" sz="800" b="1" i="0" u="none" strike="noStrike">
              <a:solidFill>
                <a:schemeClr val="tx1"/>
              </a:solidFill>
              <a:latin typeface="Calibri"/>
              <a:ea typeface="+mn-ea"/>
              <a:cs typeface="Calibri"/>
            </a:rPr>
            <a:pPr marL="0" indent="0" algn="ctr"/>
            <a:t>YTD Ton CO2</a:t>
          </a:fld>
          <a:endParaRPr lang="en-US" sz="800" b="1" i="0" u="none" strike="noStrike">
            <a:solidFill>
              <a:schemeClr val="tx1"/>
            </a:solidFill>
            <a:latin typeface="Calibri"/>
            <a:ea typeface="+mn-ea"/>
            <a:cs typeface="Calibri"/>
          </a:endParaRPr>
        </a:p>
      </xdr:txBody>
    </xdr:sp>
    <xdr:clientData/>
  </xdr:twoCellAnchor>
  <xdr:twoCellAnchor>
    <xdr:from>
      <xdr:col>13</xdr:col>
      <xdr:colOff>519112</xdr:colOff>
      <xdr:row>44</xdr:row>
      <xdr:rowOff>142875</xdr:rowOff>
    </xdr:from>
    <xdr:to>
      <xdr:col>15</xdr:col>
      <xdr:colOff>305752</xdr:colOff>
      <xdr:row>45</xdr:row>
      <xdr:rowOff>95250</xdr:rowOff>
    </xdr:to>
    <xdr:sp macro="" textlink="RRR!H195">
      <xdr:nvSpPr>
        <xdr:cNvPr id="184" name="Rectangle 183">
          <a:extLst>
            <a:ext uri="{FF2B5EF4-FFF2-40B4-BE49-F238E27FC236}">
              <a16:creationId xmlns:a16="http://schemas.microsoft.com/office/drawing/2014/main" id="{02DBDB34-E16E-48BD-A7F5-2A6E5CA7B0A9}"/>
            </a:ext>
          </a:extLst>
        </xdr:cNvPr>
        <xdr:cNvSpPr/>
      </xdr:nvSpPr>
      <xdr:spPr>
        <a:xfrm>
          <a:off x="8443912" y="8524875"/>
          <a:ext cx="1005840" cy="142875"/>
        </a:xfrm>
        <a:prstGeom prst="rect">
          <a:avLst/>
        </a:prstGeom>
        <a:solidFill>
          <a:srgbClr val="FFFF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1CF635CA-488B-40E1-BBF5-AD2F6AE07351}" type="TxLink">
            <a:rPr lang="en-US" sz="800" b="1" i="0" u="none" strike="noStrike">
              <a:solidFill>
                <a:schemeClr val="tx1"/>
              </a:solidFill>
              <a:latin typeface="Calibri"/>
              <a:ea typeface="+mn-ea"/>
              <a:cs typeface="Calibri"/>
            </a:rPr>
            <a:pPr marL="0" indent="0" algn="ctr"/>
            <a:t>YTG Ton CO2</a:t>
          </a:fld>
          <a:endParaRPr lang="en-US" sz="800" b="1" i="0" u="none" strike="noStrike">
            <a:solidFill>
              <a:schemeClr val="tx1"/>
            </a:solidFill>
            <a:latin typeface="Calibri"/>
            <a:ea typeface="+mn-ea"/>
            <a:cs typeface="Calibri"/>
          </a:endParaRPr>
        </a:p>
      </xdr:txBody>
    </xdr:sp>
    <xdr:clientData/>
  </xdr:twoCellAnchor>
  <xdr:twoCellAnchor>
    <xdr:from>
      <xdr:col>15</xdr:col>
      <xdr:colOff>328612</xdr:colOff>
      <xdr:row>41</xdr:row>
      <xdr:rowOff>133350</xdr:rowOff>
    </xdr:from>
    <xdr:to>
      <xdr:col>16</xdr:col>
      <xdr:colOff>267652</xdr:colOff>
      <xdr:row>42</xdr:row>
      <xdr:rowOff>85725</xdr:rowOff>
    </xdr:to>
    <xdr:sp macro="" textlink="RRR!I192">
      <xdr:nvSpPr>
        <xdr:cNvPr id="185" name="Rectangle 184">
          <a:extLst>
            <a:ext uri="{FF2B5EF4-FFF2-40B4-BE49-F238E27FC236}">
              <a16:creationId xmlns:a16="http://schemas.microsoft.com/office/drawing/2014/main" id="{E0223944-CF40-4AC7-A2D8-29E08A4E5068}"/>
            </a:ext>
          </a:extLst>
        </xdr:cNvPr>
        <xdr:cNvSpPr/>
      </xdr:nvSpPr>
      <xdr:spPr>
        <a:xfrm>
          <a:off x="9472612" y="7943850"/>
          <a:ext cx="548640" cy="142875"/>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031E54D-447A-417D-869A-45C9C04AC7C5}" type="TxLink">
            <a:rPr lang="en-US" sz="800" b="0" i="0" u="none" strike="noStrike">
              <a:solidFill>
                <a:schemeClr val="tx1"/>
              </a:solidFill>
              <a:latin typeface="Calibri"/>
              <a:ea typeface="+mn-ea"/>
              <a:cs typeface="Calibri"/>
            </a:rPr>
            <a:pPr marL="0" indent="0" algn="ctr"/>
            <a:t>0.0003</a:t>
          </a:fld>
          <a:endParaRPr lang="en-US" sz="800" b="0" i="0" u="none" strike="noStrike">
            <a:solidFill>
              <a:schemeClr val="tx1"/>
            </a:solidFill>
            <a:latin typeface="Calibri"/>
            <a:ea typeface="+mn-ea"/>
            <a:cs typeface="Calibri"/>
          </a:endParaRPr>
        </a:p>
      </xdr:txBody>
    </xdr:sp>
    <xdr:clientData/>
  </xdr:twoCellAnchor>
  <xdr:twoCellAnchor>
    <xdr:from>
      <xdr:col>15</xdr:col>
      <xdr:colOff>328612</xdr:colOff>
      <xdr:row>42</xdr:row>
      <xdr:rowOff>136525</xdr:rowOff>
    </xdr:from>
    <xdr:to>
      <xdr:col>16</xdr:col>
      <xdr:colOff>267652</xdr:colOff>
      <xdr:row>43</xdr:row>
      <xdr:rowOff>88900</xdr:rowOff>
    </xdr:to>
    <xdr:sp macro="" textlink="RRR!I193">
      <xdr:nvSpPr>
        <xdr:cNvPr id="186" name="Rectangle 185">
          <a:extLst>
            <a:ext uri="{FF2B5EF4-FFF2-40B4-BE49-F238E27FC236}">
              <a16:creationId xmlns:a16="http://schemas.microsoft.com/office/drawing/2014/main" id="{944C847A-3A00-4F32-94DF-451CC3D050F6}"/>
            </a:ext>
          </a:extLst>
        </xdr:cNvPr>
        <xdr:cNvSpPr/>
      </xdr:nvSpPr>
      <xdr:spPr>
        <a:xfrm>
          <a:off x="9472612" y="8137525"/>
          <a:ext cx="548640" cy="142875"/>
        </a:xfrm>
        <a:prstGeom prst="rect">
          <a:avLst/>
        </a:prstGeom>
        <a:solidFill>
          <a:srgbClr val="FFF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F148066-0F97-4A81-8390-EA1BEBEF8FDB}" type="TxLink">
            <a:rPr lang="en-US" sz="800" b="0" i="0" u="none" strike="noStrike">
              <a:solidFill>
                <a:schemeClr val="tx1"/>
              </a:solidFill>
              <a:latin typeface="Calibri"/>
              <a:ea typeface="+mn-ea"/>
              <a:cs typeface="Calibri"/>
            </a:rPr>
            <a:pPr marL="0" indent="0" algn="ctr"/>
            <a:t>0.0085</a:t>
          </a:fld>
          <a:endParaRPr lang="en-US" sz="800" b="0" i="0" u="none" strike="noStrike">
            <a:solidFill>
              <a:schemeClr val="tx1"/>
            </a:solidFill>
            <a:latin typeface="Calibri"/>
            <a:ea typeface="+mn-ea"/>
            <a:cs typeface="Calibri"/>
          </a:endParaRPr>
        </a:p>
      </xdr:txBody>
    </xdr:sp>
    <xdr:clientData/>
  </xdr:twoCellAnchor>
  <xdr:twoCellAnchor>
    <xdr:from>
      <xdr:col>15</xdr:col>
      <xdr:colOff>328612</xdr:colOff>
      <xdr:row>43</xdr:row>
      <xdr:rowOff>139700</xdr:rowOff>
    </xdr:from>
    <xdr:to>
      <xdr:col>16</xdr:col>
      <xdr:colOff>267652</xdr:colOff>
      <xdr:row>44</xdr:row>
      <xdr:rowOff>92075</xdr:rowOff>
    </xdr:to>
    <xdr:sp macro="" textlink="RRR!I194">
      <xdr:nvSpPr>
        <xdr:cNvPr id="187" name="Rectangle 186">
          <a:extLst>
            <a:ext uri="{FF2B5EF4-FFF2-40B4-BE49-F238E27FC236}">
              <a16:creationId xmlns:a16="http://schemas.microsoft.com/office/drawing/2014/main" id="{E6EB7338-DCA3-4FAB-9274-B7B16A77C377}"/>
            </a:ext>
          </a:extLst>
        </xdr:cNvPr>
        <xdr:cNvSpPr/>
      </xdr:nvSpPr>
      <xdr:spPr>
        <a:xfrm>
          <a:off x="9472612" y="8331200"/>
          <a:ext cx="548640" cy="142875"/>
        </a:xfrm>
        <a:prstGeom prst="rect">
          <a:avLst/>
        </a:prstGeom>
        <a:solidFill>
          <a:srgbClr val="FFFF9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C246383-F5D9-4779-8355-92968F37D0B9}" type="TxLink">
            <a:rPr lang="en-US" sz="800" b="0" i="0" u="none" strike="noStrike">
              <a:solidFill>
                <a:schemeClr val="tx1"/>
              </a:solidFill>
              <a:latin typeface="Calibri"/>
              <a:ea typeface="+mn-ea"/>
              <a:cs typeface="Calibri"/>
            </a:rPr>
            <a:pPr marL="0" indent="0" algn="ctr"/>
            <a:t> 52 </a:t>
          </a:fld>
          <a:endParaRPr lang="en-US" sz="800" b="0" i="0" u="none" strike="noStrike">
            <a:solidFill>
              <a:schemeClr val="tx1"/>
            </a:solidFill>
            <a:latin typeface="Calibri"/>
            <a:ea typeface="+mn-ea"/>
            <a:cs typeface="Calibri"/>
          </a:endParaRPr>
        </a:p>
      </xdr:txBody>
    </xdr:sp>
    <xdr:clientData/>
  </xdr:twoCellAnchor>
  <xdr:twoCellAnchor>
    <xdr:from>
      <xdr:col>15</xdr:col>
      <xdr:colOff>328612</xdr:colOff>
      <xdr:row>44</xdr:row>
      <xdr:rowOff>142875</xdr:rowOff>
    </xdr:from>
    <xdr:to>
      <xdr:col>16</xdr:col>
      <xdr:colOff>267652</xdr:colOff>
      <xdr:row>45</xdr:row>
      <xdr:rowOff>95250</xdr:rowOff>
    </xdr:to>
    <xdr:sp macro="" textlink="RRR!I195">
      <xdr:nvSpPr>
        <xdr:cNvPr id="188" name="Rectangle 187">
          <a:extLst>
            <a:ext uri="{FF2B5EF4-FFF2-40B4-BE49-F238E27FC236}">
              <a16:creationId xmlns:a16="http://schemas.microsoft.com/office/drawing/2014/main" id="{CAA1B27E-D9B1-48B4-9BB7-2FCF2163E8F5}"/>
            </a:ext>
          </a:extLst>
        </xdr:cNvPr>
        <xdr:cNvSpPr/>
      </xdr:nvSpPr>
      <xdr:spPr>
        <a:xfrm>
          <a:off x="9472612" y="8524875"/>
          <a:ext cx="548640" cy="142875"/>
        </a:xfrm>
        <a:prstGeom prst="rect">
          <a:avLst/>
        </a:prstGeom>
        <a:solidFill>
          <a:srgbClr val="FFFF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904E479-B406-4030-B849-62A438C2B778}" type="TxLink">
            <a:rPr lang="en-US" sz="800" b="0" i="0" u="none" strike="noStrike">
              <a:solidFill>
                <a:srgbClr val="000000"/>
              </a:solidFill>
              <a:latin typeface="Calibri"/>
              <a:ea typeface="+mn-ea"/>
              <a:cs typeface="Calibri"/>
            </a:rPr>
            <a:pPr marL="0" indent="0" algn="ctr"/>
            <a:t> 21,924 </a:t>
          </a:fld>
          <a:endParaRPr lang="en-US" sz="800" b="0" i="0" u="none" strike="noStrike">
            <a:solidFill>
              <a:srgbClr val="000000"/>
            </a:solidFill>
            <a:latin typeface="Calibri"/>
            <a:ea typeface="+mn-ea"/>
            <a:cs typeface="Calibri"/>
          </a:endParaRPr>
        </a:p>
      </xdr:txBody>
    </xdr:sp>
    <xdr:clientData/>
  </xdr:twoCellAnchor>
  <xdr:twoCellAnchor editAs="oneCell">
    <xdr:from>
      <xdr:col>0</xdr:col>
      <xdr:colOff>57150</xdr:colOff>
      <xdr:row>0</xdr:row>
      <xdr:rowOff>47625</xdr:rowOff>
    </xdr:from>
    <xdr:to>
      <xdr:col>1</xdr:col>
      <xdr:colOff>447675</xdr:colOff>
      <xdr:row>3</xdr:row>
      <xdr:rowOff>38695</xdr:rowOff>
    </xdr:to>
    <xdr:pic>
      <xdr:nvPicPr>
        <xdr:cNvPr id="80" name="Picture 79">
          <a:hlinkClick xmlns:r="http://schemas.openxmlformats.org/officeDocument/2006/relationships" r:id="rId15"/>
          <a:extLst>
            <a:ext uri="{FF2B5EF4-FFF2-40B4-BE49-F238E27FC236}">
              <a16:creationId xmlns:a16="http://schemas.microsoft.com/office/drawing/2014/main" id="{5A26747C-8833-1608-6F22-11C6449A95D8}"/>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57150" y="47625"/>
          <a:ext cx="1000125" cy="562570"/>
        </a:xfrm>
        <a:prstGeom prst="rect">
          <a:avLst/>
        </a:prstGeom>
      </xdr:spPr>
    </xdr:pic>
    <xdr:clientData/>
  </xdr:twoCellAnchor>
  <xdr:twoCellAnchor>
    <xdr:from>
      <xdr:col>0</xdr:col>
      <xdr:colOff>28575</xdr:colOff>
      <xdr:row>46</xdr:row>
      <xdr:rowOff>152399</xdr:rowOff>
    </xdr:from>
    <xdr:to>
      <xdr:col>20</xdr:col>
      <xdr:colOff>331674</xdr:colOff>
      <xdr:row>62</xdr:row>
      <xdr:rowOff>121919</xdr:rowOff>
    </xdr:to>
    <xdr:sp macro="" textlink="">
      <xdr:nvSpPr>
        <xdr:cNvPr id="81" name="Rectangle 80">
          <a:extLst>
            <a:ext uri="{FF2B5EF4-FFF2-40B4-BE49-F238E27FC236}">
              <a16:creationId xmlns:a16="http://schemas.microsoft.com/office/drawing/2014/main" id="{3F5FE086-CB61-4A6F-BBB5-5BE83CDA818F}"/>
            </a:ext>
          </a:extLst>
        </xdr:cNvPr>
        <xdr:cNvSpPr/>
      </xdr:nvSpPr>
      <xdr:spPr>
        <a:xfrm>
          <a:off x="28575" y="8915399"/>
          <a:ext cx="12495099" cy="3017520"/>
        </a:xfrm>
        <a:prstGeom prst="rect">
          <a:avLst/>
        </a:prstGeom>
        <a:noFill/>
        <a:ln>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180975</xdr:colOff>
      <xdr:row>5</xdr:row>
      <xdr:rowOff>52387</xdr:rowOff>
    </xdr:from>
    <xdr:to>
      <xdr:col>10</xdr:col>
      <xdr:colOff>361950</xdr:colOff>
      <xdr:row>16</xdr:row>
      <xdr:rowOff>28575</xdr:rowOff>
    </xdr:to>
    <xdr:graphicFrame macro="">
      <xdr:nvGraphicFramePr>
        <xdr:cNvPr id="3" name="Chart 2">
          <a:extLst>
            <a:ext uri="{FF2B5EF4-FFF2-40B4-BE49-F238E27FC236}">
              <a16:creationId xmlns:a16="http://schemas.microsoft.com/office/drawing/2014/main" id="{CC655DF9-7C96-994F-718C-CB024943D1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114299</xdr:colOff>
      <xdr:row>20</xdr:row>
      <xdr:rowOff>104774</xdr:rowOff>
    </xdr:from>
    <xdr:to>
      <xdr:col>9</xdr:col>
      <xdr:colOff>885824</xdr:colOff>
      <xdr:row>33</xdr:row>
      <xdr:rowOff>80961</xdr:rowOff>
    </xdr:to>
    <xdr:graphicFrame macro="">
      <xdr:nvGraphicFramePr>
        <xdr:cNvPr id="4" name="Chart 3">
          <a:extLst>
            <a:ext uri="{FF2B5EF4-FFF2-40B4-BE49-F238E27FC236}">
              <a16:creationId xmlns:a16="http://schemas.microsoft.com/office/drawing/2014/main" id="{BF259149-D314-8ECA-E05E-3E1220E634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38100</xdr:colOff>
      <xdr:row>38</xdr:row>
      <xdr:rowOff>80962</xdr:rowOff>
    </xdr:from>
    <xdr:to>
      <xdr:col>10</xdr:col>
      <xdr:colOff>133350</xdr:colOff>
      <xdr:row>48</xdr:row>
      <xdr:rowOff>66675</xdr:rowOff>
    </xdr:to>
    <xdr:graphicFrame macro="">
      <xdr:nvGraphicFramePr>
        <xdr:cNvPr id="5" name="Chart 4">
          <a:extLst>
            <a:ext uri="{FF2B5EF4-FFF2-40B4-BE49-F238E27FC236}">
              <a16:creationId xmlns:a16="http://schemas.microsoft.com/office/drawing/2014/main" id="{B1584754-7841-B9EB-EA6A-227CFA8792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133349</xdr:colOff>
      <xdr:row>53</xdr:row>
      <xdr:rowOff>66674</xdr:rowOff>
    </xdr:from>
    <xdr:to>
      <xdr:col>9</xdr:col>
      <xdr:colOff>666750</xdr:colOff>
      <xdr:row>61</xdr:row>
      <xdr:rowOff>114299</xdr:rowOff>
    </xdr:to>
    <xdr:graphicFrame macro="">
      <xdr:nvGraphicFramePr>
        <xdr:cNvPr id="8" name="Chart 7">
          <a:extLst>
            <a:ext uri="{FF2B5EF4-FFF2-40B4-BE49-F238E27FC236}">
              <a16:creationId xmlns:a16="http://schemas.microsoft.com/office/drawing/2014/main" id="{53653F08-64C1-EEE2-1A80-205A319150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485774</xdr:colOff>
      <xdr:row>71</xdr:row>
      <xdr:rowOff>9525</xdr:rowOff>
    </xdr:from>
    <xdr:to>
      <xdr:col>9</xdr:col>
      <xdr:colOff>552449</xdr:colOff>
      <xdr:row>80</xdr:row>
      <xdr:rowOff>185737</xdr:rowOff>
    </xdr:to>
    <xdr:graphicFrame macro="">
      <xdr:nvGraphicFramePr>
        <xdr:cNvPr id="10" name="Chart 9">
          <a:extLst>
            <a:ext uri="{FF2B5EF4-FFF2-40B4-BE49-F238E27FC236}">
              <a16:creationId xmlns:a16="http://schemas.microsoft.com/office/drawing/2014/main" id="{64122A7F-AB62-F678-EA9A-6AE98041BF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38100</xdr:colOff>
      <xdr:row>86</xdr:row>
      <xdr:rowOff>85724</xdr:rowOff>
    </xdr:from>
    <xdr:to>
      <xdr:col>10</xdr:col>
      <xdr:colOff>9525</xdr:colOff>
      <xdr:row>95</xdr:row>
      <xdr:rowOff>157161</xdr:rowOff>
    </xdr:to>
    <xdr:graphicFrame macro="">
      <xdr:nvGraphicFramePr>
        <xdr:cNvPr id="13" name="Chart 12">
          <a:extLst>
            <a:ext uri="{FF2B5EF4-FFF2-40B4-BE49-F238E27FC236}">
              <a16:creationId xmlns:a16="http://schemas.microsoft.com/office/drawing/2014/main" id="{AB926FCC-C968-1617-84A1-497A268400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590551</xdr:colOff>
      <xdr:row>98</xdr:row>
      <xdr:rowOff>152399</xdr:rowOff>
    </xdr:from>
    <xdr:to>
      <xdr:col>8</xdr:col>
      <xdr:colOff>428625</xdr:colOff>
      <xdr:row>107</xdr:row>
      <xdr:rowOff>52386</xdr:rowOff>
    </xdr:to>
    <xdr:graphicFrame macro="">
      <xdr:nvGraphicFramePr>
        <xdr:cNvPr id="14" name="Chart 13">
          <a:extLst>
            <a:ext uri="{FF2B5EF4-FFF2-40B4-BE49-F238E27FC236}">
              <a16:creationId xmlns:a16="http://schemas.microsoft.com/office/drawing/2014/main" id="{E2256EE6-78E8-E771-1F53-08ECCD609A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361950</xdr:colOff>
      <xdr:row>112</xdr:row>
      <xdr:rowOff>66674</xdr:rowOff>
    </xdr:from>
    <xdr:to>
      <xdr:col>8</xdr:col>
      <xdr:colOff>171450</xdr:colOff>
      <xdr:row>120</xdr:row>
      <xdr:rowOff>138111</xdr:rowOff>
    </xdr:to>
    <xdr:graphicFrame macro="">
      <xdr:nvGraphicFramePr>
        <xdr:cNvPr id="15" name="Chart 14">
          <a:extLst>
            <a:ext uri="{FF2B5EF4-FFF2-40B4-BE49-F238E27FC236}">
              <a16:creationId xmlns:a16="http://schemas.microsoft.com/office/drawing/2014/main" id="{9E0BA422-C491-BF3F-5EDA-1505BD6B59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66675</xdr:colOff>
      <xdr:row>124</xdr:row>
      <xdr:rowOff>190499</xdr:rowOff>
    </xdr:from>
    <xdr:to>
      <xdr:col>9</xdr:col>
      <xdr:colOff>38100</xdr:colOff>
      <xdr:row>132</xdr:row>
      <xdr:rowOff>38100</xdr:rowOff>
    </xdr:to>
    <xdr:graphicFrame macro="">
      <xdr:nvGraphicFramePr>
        <xdr:cNvPr id="16" name="Chart 15">
          <a:extLst>
            <a:ext uri="{FF2B5EF4-FFF2-40B4-BE49-F238E27FC236}">
              <a16:creationId xmlns:a16="http://schemas.microsoft.com/office/drawing/2014/main" id="{FBEA8ECD-6A1B-24BC-F2EC-35A55FF1CB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496957</xdr:colOff>
      <xdr:row>15</xdr:row>
      <xdr:rowOff>99392</xdr:rowOff>
    </xdr:from>
    <xdr:to>
      <xdr:col>6</xdr:col>
      <xdr:colOff>695738</xdr:colOff>
      <xdr:row>23</xdr:row>
      <xdr:rowOff>107675</xdr:rowOff>
    </xdr:to>
    <xdr:sp macro="" textlink="">
      <xdr:nvSpPr>
        <xdr:cNvPr id="3" name="Scroll: Horizontal 2">
          <a:extLst>
            <a:ext uri="{FF2B5EF4-FFF2-40B4-BE49-F238E27FC236}">
              <a16:creationId xmlns:a16="http://schemas.microsoft.com/office/drawing/2014/main" id="{C292DAC8-8A28-5765-B19A-947721F33D11}"/>
            </a:ext>
          </a:extLst>
        </xdr:cNvPr>
        <xdr:cNvSpPr/>
      </xdr:nvSpPr>
      <xdr:spPr>
        <a:xfrm>
          <a:off x="1109870" y="3478696"/>
          <a:ext cx="8274325" cy="1532283"/>
        </a:xfrm>
        <a:prstGeom prst="horizontalScroll">
          <a:avLst/>
        </a:prstGeom>
        <a:solidFill>
          <a:srgbClr val="C0000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a:t>
          </a:r>
          <a:r>
            <a:rPr lang="en-US" sz="1100" baseline="0"/>
            <a:t>  Find your name in the list. </a:t>
          </a:r>
        </a:p>
        <a:p>
          <a:pPr algn="ctr"/>
          <a:r>
            <a:rPr lang="en-US" sz="1100" baseline="0"/>
            <a:t>2) Click on the sheet name from the dropdown list. You will redirected to that specific sheet where you regularly provide the data.</a:t>
          </a:r>
        </a:p>
        <a:p>
          <a:pPr algn="ctr"/>
          <a:r>
            <a:rPr lang="en-US" sz="1100" baseline="0"/>
            <a:t>3) Be careful during the data entry as there are many linked sheet here in this excel file. </a:t>
          </a:r>
        </a:p>
        <a:p>
          <a:pPr algn="ctr"/>
          <a:r>
            <a:rPr lang="en-US" sz="1100" baseline="0"/>
            <a:t>4) If you find that Back button is not working properly, Please click on any of the sell in the sheet and then try again to click on back button</a:t>
          </a:r>
        </a:p>
      </xdr:txBody>
    </xdr:sp>
    <xdr:clientData/>
  </xdr:twoCellAnchor>
  <xdr:twoCellAnchor>
    <xdr:from>
      <xdr:col>1</xdr:col>
      <xdr:colOff>0</xdr:colOff>
      <xdr:row>15</xdr:row>
      <xdr:rowOff>24850</xdr:rowOff>
    </xdr:from>
    <xdr:to>
      <xdr:col>1</xdr:col>
      <xdr:colOff>836543</xdr:colOff>
      <xdr:row>18</xdr:row>
      <xdr:rowOff>49698</xdr:rowOff>
    </xdr:to>
    <xdr:sp macro="" textlink="">
      <xdr:nvSpPr>
        <xdr:cNvPr id="5" name="Speech Bubble: Oval 4">
          <a:extLst>
            <a:ext uri="{FF2B5EF4-FFF2-40B4-BE49-F238E27FC236}">
              <a16:creationId xmlns:a16="http://schemas.microsoft.com/office/drawing/2014/main" id="{4889F5AE-DC4F-7C61-BFF7-F3C71EEABA31}"/>
            </a:ext>
          </a:extLst>
        </xdr:cNvPr>
        <xdr:cNvSpPr/>
      </xdr:nvSpPr>
      <xdr:spPr>
        <a:xfrm flipH="1">
          <a:off x="0" y="3404154"/>
          <a:ext cx="836543" cy="596348"/>
        </a:xfrm>
        <a:prstGeom prst="wedgeEllipseCallout">
          <a:avLst/>
        </a:prstGeom>
        <a:solidFill>
          <a:srgbClr val="FFC00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t>N.B.</a:t>
          </a:r>
        </a:p>
      </xdr:txBody>
    </xdr:sp>
    <xdr:clientData/>
  </xdr:twoCellAnchor>
  <xdr:twoCellAnchor editAs="oneCell">
    <xdr:from>
      <xdr:col>1</xdr:col>
      <xdr:colOff>66261</xdr:colOff>
      <xdr:row>0</xdr:row>
      <xdr:rowOff>157370</xdr:rowOff>
    </xdr:from>
    <xdr:to>
      <xdr:col>1</xdr:col>
      <xdr:colOff>1066386</xdr:colOff>
      <xdr:row>1</xdr:row>
      <xdr:rowOff>131875</xdr:rowOff>
    </xdr:to>
    <xdr:pic>
      <xdr:nvPicPr>
        <xdr:cNvPr id="4" name="Picture 3">
          <a:hlinkClick xmlns:r="http://schemas.openxmlformats.org/officeDocument/2006/relationships" r:id="rId1"/>
          <a:extLst>
            <a:ext uri="{FF2B5EF4-FFF2-40B4-BE49-F238E27FC236}">
              <a16:creationId xmlns:a16="http://schemas.microsoft.com/office/drawing/2014/main" id="{C38A3CE9-A53C-4346-82D7-F34E57A80E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9174" y="157370"/>
          <a:ext cx="1000125" cy="562570"/>
        </a:xfrm>
        <a:prstGeom prst="rect">
          <a:avLst/>
        </a:prstGeom>
      </xdr:spPr>
    </xdr:pic>
    <xdr:clientData/>
  </xdr:twoCellAnchor>
  <xdr:twoCellAnchor>
    <xdr:from>
      <xdr:col>4</xdr:col>
      <xdr:colOff>538369</xdr:colOff>
      <xdr:row>20</xdr:row>
      <xdr:rowOff>182217</xdr:rowOff>
    </xdr:from>
    <xdr:to>
      <xdr:col>4</xdr:col>
      <xdr:colOff>1093304</xdr:colOff>
      <xdr:row>22</xdr:row>
      <xdr:rowOff>41413</xdr:rowOff>
    </xdr:to>
    <xdr:sp macro="" textlink="">
      <xdr:nvSpPr>
        <xdr:cNvPr id="6" name="Rectangle: Beveled 5">
          <a:hlinkClick xmlns:r="http://schemas.openxmlformats.org/officeDocument/2006/relationships" r:id="rId3"/>
          <a:extLst>
            <a:ext uri="{FF2B5EF4-FFF2-40B4-BE49-F238E27FC236}">
              <a16:creationId xmlns:a16="http://schemas.microsoft.com/office/drawing/2014/main" id="{633DF089-3898-4533-BE0D-92A55B96828E}"/>
            </a:ext>
          </a:extLst>
        </xdr:cNvPr>
        <xdr:cNvSpPr/>
      </xdr:nvSpPr>
      <xdr:spPr>
        <a:xfrm>
          <a:off x="6170543" y="4514021"/>
          <a:ext cx="554935" cy="240196"/>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t>Back</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35719</xdr:colOff>
      <xdr:row>0</xdr:row>
      <xdr:rowOff>190501</xdr:rowOff>
    </xdr:from>
    <xdr:to>
      <xdr:col>1</xdr:col>
      <xdr:colOff>1702593</xdr:colOff>
      <xdr:row>2</xdr:row>
      <xdr:rowOff>258961</xdr:rowOff>
    </xdr:to>
    <xdr:pic>
      <xdr:nvPicPr>
        <xdr:cNvPr id="3" name="Picture 2">
          <a:hlinkClick xmlns:r="http://schemas.openxmlformats.org/officeDocument/2006/relationships" r:id="rId1"/>
          <a:extLst>
            <a:ext uri="{FF2B5EF4-FFF2-40B4-BE49-F238E27FC236}">
              <a16:creationId xmlns:a16="http://schemas.microsoft.com/office/drawing/2014/main" id="{7632D2A0-58B7-4C5C-B69A-1B2703DD9A4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42938" y="190501"/>
          <a:ext cx="1666874" cy="93761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266700</xdr:colOff>
      <xdr:row>0</xdr:row>
      <xdr:rowOff>161925</xdr:rowOff>
    </xdr:from>
    <xdr:to>
      <xdr:col>0</xdr:col>
      <xdr:colOff>1419225</xdr:colOff>
      <xdr:row>2</xdr:row>
      <xdr:rowOff>143470</xdr:rowOff>
    </xdr:to>
    <xdr:pic>
      <xdr:nvPicPr>
        <xdr:cNvPr id="2" name="Picture 1">
          <a:hlinkClick xmlns:r="http://schemas.openxmlformats.org/officeDocument/2006/relationships" r:id="rId1"/>
          <a:extLst>
            <a:ext uri="{FF2B5EF4-FFF2-40B4-BE49-F238E27FC236}">
              <a16:creationId xmlns:a16="http://schemas.microsoft.com/office/drawing/2014/main" id="{36A059FD-B773-413A-B0AD-029B5C43529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66700" y="161925"/>
          <a:ext cx="1152525" cy="64829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666750</xdr:colOff>
      <xdr:row>8</xdr:row>
      <xdr:rowOff>38100</xdr:rowOff>
    </xdr:from>
    <xdr:to>
      <xdr:col>0</xdr:col>
      <xdr:colOff>1333500</xdr:colOff>
      <xdr:row>9</xdr:row>
      <xdr:rowOff>152400</xdr:rowOff>
    </xdr:to>
    <xdr:sp macro="" textlink="">
      <xdr:nvSpPr>
        <xdr:cNvPr id="2" name="Rectangle: Beveled 1">
          <a:hlinkClick xmlns:r="http://schemas.openxmlformats.org/officeDocument/2006/relationships" r:id="rId1"/>
          <a:extLst>
            <a:ext uri="{FF2B5EF4-FFF2-40B4-BE49-F238E27FC236}">
              <a16:creationId xmlns:a16="http://schemas.microsoft.com/office/drawing/2014/main" id="{FE2B954F-0178-4531-8193-CE07DAA9B2AB}"/>
            </a:ext>
          </a:extLst>
        </xdr:cNvPr>
        <xdr:cNvSpPr/>
      </xdr:nvSpPr>
      <xdr:spPr>
        <a:xfrm>
          <a:off x="666750" y="2905125"/>
          <a:ext cx="666750" cy="34290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Back</a:t>
          </a:r>
        </a:p>
      </xdr:txBody>
    </xdr:sp>
    <xdr:clientData/>
  </xdr:twoCellAnchor>
  <xdr:twoCellAnchor>
    <xdr:from>
      <xdr:col>0</xdr:col>
      <xdr:colOff>762000</xdr:colOff>
      <xdr:row>109</xdr:row>
      <xdr:rowOff>9525</xdr:rowOff>
    </xdr:from>
    <xdr:to>
      <xdr:col>0</xdr:col>
      <xdr:colOff>1428750</xdr:colOff>
      <xdr:row>110</xdr:row>
      <xdr:rowOff>123825</xdr:rowOff>
    </xdr:to>
    <xdr:sp macro="" textlink="">
      <xdr:nvSpPr>
        <xdr:cNvPr id="4" name="Rectangle: Beveled 3">
          <a:hlinkClick xmlns:r="http://schemas.openxmlformats.org/officeDocument/2006/relationships" r:id="rId1"/>
          <a:extLst>
            <a:ext uri="{FF2B5EF4-FFF2-40B4-BE49-F238E27FC236}">
              <a16:creationId xmlns:a16="http://schemas.microsoft.com/office/drawing/2014/main" id="{2B90DD06-0A2C-4346-8C5D-3C8B7474BC85}"/>
            </a:ext>
          </a:extLst>
        </xdr:cNvPr>
        <xdr:cNvSpPr/>
      </xdr:nvSpPr>
      <xdr:spPr>
        <a:xfrm>
          <a:off x="762000" y="27403425"/>
          <a:ext cx="666750" cy="34290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Back</a:t>
          </a:r>
        </a:p>
      </xdr:txBody>
    </xdr:sp>
    <xdr:clientData/>
  </xdr:twoCellAnchor>
  <xdr:twoCellAnchor>
    <xdr:from>
      <xdr:col>0</xdr:col>
      <xdr:colOff>857250</xdr:colOff>
      <xdr:row>28</xdr:row>
      <xdr:rowOff>28575</xdr:rowOff>
    </xdr:from>
    <xdr:to>
      <xdr:col>0</xdr:col>
      <xdr:colOff>1524000</xdr:colOff>
      <xdr:row>29</xdr:row>
      <xdr:rowOff>142875</xdr:rowOff>
    </xdr:to>
    <xdr:sp macro="" textlink="">
      <xdr:nvSpPr>
        <xdr:cNvPr id="5" name="Rectangle: Beveled 4">
          <a:hlinkClick xmlns:r="http://schemas.openxmlformats.org/officeDocument/2006/relationships" r:id="rId1"/>
          <a:extLst>
            <a:ext uri="{FF2B5EF4-FFF2-40B4-BE49-F238E27FC236}">
              <a16:creationId xmlns:a16="http://schemas.microsoft.com/office/drawing/2014/main" id="{CD59EBFC-6F79-4FDA-AAE9-74C89867E159}"/>
            </a:ext>
          </a:extLst>
        </xdr:cNvPr>
        <xdr:cNvSpPr/>
      </xdr:nvSpPr>
      <xdr:spPr>
        <a:xfrm>
          <a:off x="857250" y="7581900"/>
          <a:ext cx="666750" cy="34290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Back</a:t>
          </a:r>
        </a:p>
      </xdr:txBody>
    </xdr:sp>
    <xdr:clientData/>
  </xdr:twoCellAnchor>
  <xdr:twoCellAnchor>
    <xdr:from>
      <xdr:col>0</xdr:col>
      <xdr:colOff>752475</xdr:colOff>
      <xdr:row>49</xdr:row>
      <xdr:rowOff>47625</xdr:rowOff>
    </xdr:from>
    <xdr:to>
      <xdr:col>0</xdr:col>
      <xdr:colOff>1419225</xdr:colOff>
      <xdr:row>50</xdr:row>
      <xdr:rowOff>161925</xdr:rowOff>
    </xdr:to>
    <xdr:sp macro="" textlink="">
      <xdr:nvSpPr>
        <xdr:cNvPr id="6" name="Rectangle: Beveled 5">
          <a:hlinkClick xmlns:r="http://schemas.openxmlformats.org/officeDocument/2006/relationships" r:id="rId1"/>
          <a:extLst>
            <a:ext uri="{FF2B5EF4-FFF2-40B4-BE49-F238E27FC236}">
              <a16:creationId xmlns:a16="http://schemas.microsoft.com/office/drawing/2014/main" id="{9ADF2755-0184-463F-A853-C71F8595BFDA}"/>
            </a:ext>
          </a:extLst>
        </xdr:cNvPr>
        <xdr:cNvSpPr/>
      </xdr:nvSpPr>
      <xdr:spPr>
        <a:xfrm>
          <a:off x="752475" y="12954000"/>
          <a:ext cx="666750" cy="34290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Back</a:t>
          </a:r>
        </a:p>
      </xdr:txBody>
    </xdr:sp>
    <xdr:clientData/>
  </xdr:twoCellAnchor>
  <xdr:twoCellAnchor>
    <xdr:from>
      <xdr:col>0</xdr:col>
      <xdr:colOff>723900</xdr:colOff>
      <xdr:row>68</xdr:row>
      <xdr:rowOff>47625</xdr:rowOff>
    </xdr:from>
    <xdr:to>
      <xdr:col>0</xdr:col>
      <xdr:colOff>1390650</xdr:colOff>
      <xdr:row>69</xdr:row>
      <xdr:rowOff>161925</xdr:rowOff>
    </xdr:to>
    <xdr:sp macro="" textlink="">
      <xdr:nvSpPr>
        <xdr:cNvPr id="7" name="Rectangle: Beveled 6">
          <a:hlinkClick xmlns:r="http://schemas.openxmlformats.org/officeDocument/2006/relationships" r:id="rId1"/>
          <a:extLst>
            <a:ext uri="{FF2B5EF4-FFF2-40B4-BE49-F238E27FC236}">
              <a16:creationId xmlns:a16="http://schemas.microsoft.com/office/drawing/2014/main" id="{E2A0E1DB-2C84-42C5-836A-C5151F99C59D}"/>
            </a:ext>
          </a:extLst>
        </xdr:cNvPr>
        <xdr:cNvSpPr/>
      </xdr:nvSpPr>
      <xdr:spPr>
        <a:xfrm>
          <a:off x="723900" y="17411700"/>
          <a:ext cx="666750" cy="34290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Back</a:t>
          </a:r>
        </a:p>
      </xdr:txBody>
    </xdr:sp>
    <xdr:clientData/>
  </xdr:twoCellAnchor>
  <xdr:twoCellAnchor>
    <xdr:from>
      <xdr:col>0</xdr:col>
      <xdr:colOff>781050</xdr:colOff>
      <xdr:row>87</xdr:row>
      <xdr:rowOff>47625</xdr:rowOff>
    </xdr:from>
    <xdr:to>
      <xdr:col>0</xdr:col>
      <xdr:colOff>1447800</xdr:colOff>
      <xdr:row>88</xdr:row>
      <xdr:rowOff>161925</xdr:rowOff>
    </xdr:to>
    <xdr:sp macro="" textlink="">
      <xdr:nvSpPr>
        <xdr:cNvPr id="8" name="Rectangle: Beveled 7">
          <a:hlinkClick xmlns:r="http://schemas.openxmlformats.org/officeDocument/2006/relationships" r:id="rId1"/>
          <a:extLst>
            <a:ext uri="{FF2B5EF4-FFF2-40B4-BE49-F238E27FC236}">
              <a16:creationId xmlns:a16="http://schemas.microsoft.com/office/drawing/2014/main" id="{E8785C77-5A38-4E8A-A6AB-D0152E78A533}"/>
            </a:ext>
          </a:extLst>
        </xdr:cNvPr>
        <xdr:cNvSpPr/>
      </xdr:nvSpPr>
      <xdr:spPr>
        <a:xfrm>
          <a:off x="781050" y="21869400"/>
          <a:ext cx="666750" cy="34290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Back</a:t>
          </a:r>
        </a:p>
      </xdr:txBody>
    </xdr:sp>
    <xdr:clientData/>
  </xdr:twoCellAnchor>
  <xdr:twoCellAnchor>
    <xdr:from>
      <xdr:col>0</xdr:col>
      <xdr:colOff>781050</xdr:colOff>
      <xdr:row>129</xdr:row>
      <xdr:rowOff>0</xdr:rowOff>
    </xdr:from>
    <xdr:to>
      <xdr:col>0</xdr:col>
      <xdr:colOff>1447800</xdr:colOff>
      <xdr:row>130</xdr:row>
      <xdr:rowOff>114300</xdr:rowOff>
    </xdr:to>
    <xdr:sp macro="" textlink="">
      <xdr:nvSpPr>
        <xdr:cNvPr id="9" name="Rectangle: Beveled 8">
          <a:hlinkClick xmlns:r="http://schemas.openxmlformats.org/officeDocument/2006/relationships" r:id="rId1"/>
          <a:extLst>
            <a:ext uri="{FF2B5EF4-FFF2-40B4-BE49-F238E27FC236}">
              <a16:creationId xmlns:a16="http://schemas.microsoft.com/office/drawing/2014/main" id="{4900B265-72D4-4881-B9E1-46D4CF550434}"/>
            </a:ext>
          </a:extLst>
        </xdr:cNvPr>
        <xdr:cNvSpPr/>
      </xdr:nvSpPr>
      <xdr:spPr>
        <a:xfrm>
          <a:off x="781050" y="32080200"/>
          <a:ext cx="666750" cy="34290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Back</a:t>
          </a:r>
        </a:p>
      </xdr:txBody>
    </xdr:sp>
    <xdr:clientData/>
  </xdr:twoCellAnchor>
  <xdr:twoCellAnchor>
    <xdr:from>
      <xdr:col>0</xdr:col>
      <xdr:colOff>752475</xdr:colOff>
      <xdr:row>150</xdr:row>
      <xdr:rowOff>19050</xdr:rowOff>
    </xdr:from>
    <xdr:to>
      <xdr:col>0</xdr:col>
      <xdr:colOff>1419225</xdr:colOff>
      <xdr:row>151</xdr:row>
      <xdr:rowOff>133350</xdr:rowOff>
    </xdr:to>
    <xdr:sp macro="" textlink="">
      <xdr:nvSpPr>
        <xdr:cNvPr id="10" name="Rectangle: Beveled 9">
          <a:hlinkClick xmlns:r="http://schemas.openxmlformats.org/officeDocument/2006/relationships" r:id="rId1"/>
          <a:extLst>
            <a:ext uri="{FF2B5EF4-FFF2-40B4-BE49-F238E27FC236}">
              <a16:creationId xmlns:a16="http://schemas.microsoft.com/office/drawing/2014/main" id="{FAD109E0-638F-4293-A726-CFC00C9FC764}"/>
            </a:ext>
          </a:extLst>
        </xdr:cNvPr>
        <xdr:cNvSpPr/>
      </xdr:nvSpPr>
      <xdr:spPr>
        <a:xfrm>
          <a:off x="752475" y="37414200"/>
          <a:ext cx="666750" cy="34290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Back</a:t>
          </a:r>
        </a:p>
      </xdr:txBody>
    </xdr:sp>
    <xdr:clientData/>
  </xdr:twoCellAnchor>
  <xdr:twoCellAnchor>
    <xdr:from>
      <xdr:col>0</xdr:col>
      <xdr:colOff>752475</xdr:colOff>
      <xdr:row>169</xdr:row>
      <xdr:rowOff>28575</xdr:rowOff>
    </xdr:from>
    <xdr:to>
      <xdr:col>0</xdr:col>
      <xdr:colOff>1419225</xdr:colOff>
      <xdr:row>170</xdr:row>
      <xdr:rowOff>142875</xdr:rowOff>
    </xdr:to>
    <xdr:sp macro="" textlink="">
      <xdr:nvSpPr>
        <xdr:cNvPr id="11" name="Rectangle: Beveled 10">
          <a:hlinkClick xmlns:r="http://schemas.openxmlformats.org/officeDocument/2006/relationships" r:id="rId1"/>
          <a:extLst>
            <a:ext uri="{FF2B5EF4-FFF2-40B4-BE49-F238E27FC236}">
              <a16:creationId xmlns:a16="http://schemas.microsoft.com/office/drawing/2014/main" id="{425B7FF2-1B8C-4D75-BAFC-6B1AFC415F81}"/>
            </a:ext>
          </a:extLst>
        </xdr:cNvPr>
        <xdr:cNvSpPr/>
      </xdr:nvSpPr>
      <xdr:spPr>
        <a:xfrm>
          <a:off x="752475" y="41881425"/>
          <a:ext cx="666750" cy="34290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Back</a:t>
          </a:r>
        </a:p>
      </xdr:txBody>
    </xdr:sp>
    <xdr:clientData/>
  </xdr:twoCellAnchor>
  <xdr:twoCellAnchor>
    <xdr:from>
      <xdr:col>0</xdr:col>
      <xdr:colOff>752475</xdr:colOff>
      <xdr:row>188</xdr:row>
      <xdr:rowOff>28575</xdr:rowOff>
    </xdr:from>
    <xdr:to>
      <xdr:col>0</xdr:col>
      <xdr:colOff>1419225</xdr:colOff>
      <xdr:row>189</xdr:row>
      <xdr:rowOff>142875</xdr:rowOff>
    </xdr:to>
    <xdr:sp macro="" textlink="">
      <xdr:nvSpPr>
        <xdr:cNvPr id="12" name="Rectangle: Beveled 11">
          <a:hlinkClick xmlns:r="http://schemas.openxmlformats.org/officeDocument/2006/relationships" r:id="rId1"/>
          <a:extLst>
            <a:ext uri="{FF2B5EF4-FFF2-40B4-BE49-F238E27FC236}">
              <a16:creationId xmlns:a16="http://schemas.microsoft.com/office/drawing/2014/main" id="{A297D73F-0CF8-4570-9488-F1E728079B7F}"/>
            </a:ext>
          </a:extLst>
        </xdr:cNvPr>
        <xdr:cNvSpPr/>
      </xdr:nvSpPr>
      <xdr:spPr>
        <a:xfrm>
          <a:off x="752475" y="46339125"/>
          <a:ext cx="666750" cy="34290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Back</a:t>
          </a:r>
        </a:p>
      </xdr:txBody>
    </xdr:sp>
    <xdr:clientData/>
  </xdr:twoCellAnchor>
  <xdr:twoCellAnchor editAs="oneCell">
    <xdr:from>
      <xdr:col>0</xdr:col>
      <xdr:colOff>342900</xdr:colOff>
      <xdr:row>0</xdr:row>
      <xdr:rowOff>161925</xdr:rowOff>
    </xdr:from>
    <xdr:to>
      <xdr:col>0</xdr:col>
      <xdr:colOff>1782234</xdr:colOff>
      <xdr:row>2</xdr:row>
      <xdr:rowOff>333375</xdr:rowOff>
    </xdr:to>
    <xdr:pic>
      <xdr:nvPicPr>
        <xdr:cNvPr id="13" name="Picture 12">
          <a:hlinkClick xmlns:r="http://schemas.openxmlformats.org/officeDocument/2006/relationships" r:id="rId2"/>
          <a:extLst>
            <a:ext uri="{FF2B5EF4-FFF2-40B4-BE49-F238E27FC236}">
              <a16:creationId xmlns:a16="http://schemas.microsoft.com/office/drawing/2014/main" id="{8A37B3A4-E42F-42F8-B662-30BCC41A44C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2900" y="161925"/>
          <a:ext cx="1439334" cy="8096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552450</xdr:colOff>
      <xdr:row>7</xdr:row>
      <xdr:rowOff>200025</xdr:rowOff>
    </xdr:from>
    <xdr:to>
      <xdr:col>0</xdr:col>
      <xdr:colOff>1219200</xdr:colOff>
      <xdr:row>9</xdr:row>
      <xdr:rowOff>104775</xdr:rowOff>
    </xdr:to>
    <xdr:sp macro="" textlink="">
      <xdr:nvSpPr>
        <xdr:cNvPr id="2" name="Rectangle: Beveled 1">
          <a:hlinkClick xmlns:r="http://schemas.openxmlformats.org/officeDocument/2006/relationships" r:id="rId1"/>
          <a:extLst>
            <a:ext uri="{FF2B5EF4-FFF2-40B4-BE49-F238E27FC236}">
              <a16:creationId xmlns:a16="http://schemas.microsoft.com/office/drawing/2014/main" id="{DE6E6BCA-358D-4264-B138-C4CE4A43733C}"/>
            </a:ext>
          </a:extLst>
        </xdr:cNvPr>
        <xdr:cNvSpPr/>
      </xdr:nvSpPr>
      <xdr:spPr>
        <a:xfrm>
          <a:off x="552450" y="2752725"/>
          <a:ext cx="666750" cy="34290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Back</a:t>
          </a:r>
        </a:p>
      </xdr:txBody>
    </xdr:sp>
    <xdr:clientData/>
  </xdr:twoCellAnchor>
  <xdr:twoCellAnchor>
    <xdr:from>
      <xdr:col>0</xdr:col>
      <xdr:colOff>514350</xdr:colOff>
      <xdr:row>46</xdr:row>
      <xdr:rowOff>9525</xdr:rowOff>
    </xdr:from>
    <xdr:to>
      <xdr:col>0</xdr:col>
      <xdr:colOff>1181100</xdr:colOff>
      <xdr:row>47</xdr:row>
      <xdr:rowOff>123825</xdr:rowOff>
    </xdr:to>
    <xdr:sp macro="" textlink="">
      <xdr:nvSpPr>
        <xdr:cNvPr id="4" name="Rectangle: Beveled 3">
          <a:hlinkClick xmlns:r="http://schemas.openxmlformats.org/officeDocument/2006/relationships" r:id="rId1"/>
          <a:extLst>
            <a:ext uri="{FF2B5EF4-FFF2-40B4-BE49-F238E27FC236}">
              <a16:creationId xmlns:a16="http://schemas.microsoft.com/office/drawing/2014/main" id="{B72048DF-989E-4F77-A611-ABD4483A87FF}"/>
            </a:ext>
          </a:extLst>
        </xdr:cNvPr>
        <xdr:cNvSpPr/>
      </xdr:nvSpPr>
      <xdr:spPr>
        <a:xfrm>
          <a:off x="514350" y="11934825"/>
          <a:ext cx="666750" cy="34290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Back</a:t>
          </a:r>
        </a:p>
      </xdr:txBody>
    </xdr:sp>
    <xdr:clientData/>
  </xdr:twoCellAnchor>
  <xdr:twoCellAnchor editAs="oneCell">
    <xdr:from>
      <xdr:col>0</xdr:col>
      <xdr:colOff>333375</xdr:colOff>
      <xdr:row>0</xdr:row>
      <xdr:rowOff>161925</xdr:rowOff>
    </xdr:from>
    <xdr:to>
      <xdr:col>0</xdr:col>
      <xdr:colOff>1847850</xdr:colOff>
      <xdr:row>2</xdr:row>
      <xdr:rowOff>385167</xdr:rowOff>
    </xdr:to>
    <xdr:pic>
      <xdr:nvPicPr>
        <xdr:cNvPr id="5" name="Picture 4">
          <a:hlinkClick xmlns:r="http://schemas.openxmlformats.org/officeDocument/2006/relationships" r:id="rId2"/>
          <a:extLst>
            <a:ext uri="{FF2B5EF4-FFF2-40B4-BE49-F238E27FC236}">
              <a16:creationId xmlns:a16="http://schemas.microsoft.com/office/drawing/2014/main" id="{B17A5B54-A21D-4FFE-A217-81E96C3B7E2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3375" y="161925"/>
          <a:ext cx="1514475" cy="85189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314010</xdr:colOff>
      <xdr:row>0</xdr:row>
      <xdr:rowOff>240742</xdr:rowOff>
    </xdr:from>
    <xdr:to>
      <xdr:col>0</xdr:col>
      <xdr:colOff>1839872</xdr:colOff>
      <xdr:row>2</xdr:row>
      <xdr:rowOff>198874</xdr:rowOff>
    </xdr:to>
    <xdr:pic>
      <xdr:nvPicPr>
        <xdr:cNvPr id="3" name="Picture 2">
          <a:hlinkClick xmlns:r="http://schemas.openxmlformats.org/officeDocument/2006/relationships" r:id="rId1"/>
          <a:extLst>
            <a:ext uri="{FF2B5EF4-FFF2-40B4-BE49-F238E27FC236}">
              <a16:creationId xmlns:a16="http://schemas.microsoft.com/office/drawing/2014/main" id="{4550A23C-198D-4982-90E8-5BAF16E368F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4010" y="240742"/>
          <a:ext cx="1525862" cy="85829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81642</xdr:colOff>
      <xdr:row>0</xdr:row>
      <xdr:rowOff>149679</xdr:rowOff>
    </xdr:from>
    <xdr:to>
      <xdr:col>0</xdr:col>
      <xdr:colOff>2234596</xdr:colOff>
      <xdr:row>2</xdr:row>
      <xdr:rowOff>353786</xdr:rowOff>
    </xdr:to>
    <xdr:pic>
      <xdr:nvPicPr>
        <xdr:cNvPr id="3" name="Picture 2">
          <a:hlinkClick xmlns:r="http://schemas.openxmlformats.org/officeDocument/2006/relationships" r:id="rId1"/>
          <a:extLst>
            <a:ext uri="{FF2B5EF4-FFF2-40B4-BE49-F238E27FC236}">
              <a16:creationId xmlns:a16="http://schemas.microsoft.com/office/drawing/2014/main" id="{943D8551-171E-4E21-A041-F5EF2586008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642" y="149679"/>
          <a:ext cx="2152954" cy="1211036"/>
        </a:xfrm>
        <a:prstGeom prst="rect">
          <a:avLst/>
        </a:prstGeom>
      </xdr:spPr>
    </xdr:pic>
    <xdr:clientData/>
  </xdr:twoCellAnchor>
  <xdr:twoCellAnchor>
    <xdr:from>
      <xdr:col>4</xdr:col>
      <xdr:colOff>557892</xdr:colOff>
      <xdr:row>0</xdr:row>
      <xdr:rowOff>76201</xdr:rowOff>
    </xdr:from>
    <xdr:to>
      <xdr:col>5</xdr:col>
      <xdr:colOff>802822</xdr:colOff>
      <xdr:row>2</xdr:row>
      <xdr:rowOff>157844</xdr:rowOff>
    </xdr:to>
    <xdr:sp macro="" textlink="">
      <xdr:nvSpPr>
        <xdr:cNvPr id="4" name="Oval 3">
          <a:hlinkClick xmlns:r="http://schemas.openxmlformats.org/officeDocument/2006/relationships" r:id="rId3"/>
          <a:extLst>
            <a:ext uri="{FF2B5EF4-FFF2-40B4-BE49-F238E27FC236}">
              <a16:creationId xmlns:a16="http://schemas.microsoft.com/office/drawing/2014/main" id="{FBD2E9F0-9EDE-C973-1ED8-5104BDBD9122}"/>
            </a:ext>
          </a:extLst>
        </xdr:cNvPr>
        <xdr:cNvSpPr/>
      </xdr:nvSpPr>
      <xdr:spPr>
        <a:xfrm>
          <a:off x="6123213" y="76201"/>
          <a:ext cx="1170216" cy="1088572"/>
        </a:xfrm>
        <a:prstGeom prst="ellipse">
          <a:avLst/>
        </a:prstGeom>
        <a:solidFill>
          <a:schemeClr val="accent1">
            <a:lumMod val="40000"/>
            <a:lumOff val="6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chemeClr val="tx1"/>
              </a:solidFill>
            </a:rPr>
            <a:t>CAT-1</a:t>
          </a:r>
        </a:p>
      </xdr:txBody>
    </xdr:sp>
    <xdr:clientData/>
  </xdr:twoCellAnchor>
  <xdr:twoCellAnchor>
    <xdr:from>
      <xdr:col>6</xdr:col>
      <xdr:colOff>528862</xdr:colOff>
      <xdr:row>0</xdr:row>
      <xdr:rowOff>76201</xdr:rowOff>
    </xdr:from>
    <xdr:to>
      <xdr:col>6</xdr:col>
      <xdr:colOff>1699078</xdr:colOff>
      <xdr:row>2</xdr:row>
      <xdr:rowOff>157844</xdr:rowOff>
    </xdr:to>
    <xdr:sp macro="" textlink="">
      <xdr:nvSpPr>
        <xdr:cNvPr id="5" name="Oval 4">
          <a:hlinkClick xmlns:r="http://schemas.openxmlformats.org/officeDocument/2006/relationships" r:id="rId4"/>
          <a:extLst>
            <a:ext uri="{FF2B5EF4-FFF2-40B4-BE49-F238E27FC236}">
              <a16:creationId xmlns:a16="http://schemas.microsoft.com/office/drawing/2014/main" id="{CFC073CD-B7C1-4494-B656-B1DFE265EEBE}"/>
            </a:ext>
          </a:extLst>
        </xdr:cNvPr>
        <xdr:cNvSpPr/>
      </xdr:nvSpPr>
      <xdr:spPr>
        <a:xfrm>
          <a:off x="7985576" y="76201"/>
          <a:ext cx="1170216" cy="1088572"/>
        </a:xfrm>
        <a:prstGeom prst="ellipse">
          <a:avLst/>
        </a:prstGeom>
        <a:solidFill>
          <a:schemeClr val="accent1">
            <a:lumMod val="40000"/>
            <a:lumOff val="6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chemeClr val="tx1"/>
              </a:solidFill>
            </a:rPr>
            <a:t>CAT-2</a:t>
          </a:r>
        </a:p>
      </xdr:txBody>
    </xdr:sp>
    <xdr:clientData/>
  </xdr:twoCellAnchor>
  <xdr:twoCellAnchor>
    <xdr:from>
      <xdr:col>7</xdr:col>
      <xdr:colOff>309333</xdr:colOff>
      <xdr:row>0</xdr:row>
      <xdr:rowOff>76201</xdr:rowOff>
    </xdr:from>
    <xdr:to>
      <xdr:col>7</xdr:col>
      <xdr:colOff>1479549</xdr:colOff>
      <xdr:row>2</xdr:row>
      <xdr:rowOff>157844</xdr:rowOff>
    </xdr:to>
    <xdr:sp macro="" textlink="">
      <xdr:nvSpPr>
        <xdr:cNvPr id="6" name="Oval 5">
          <a:hlinkClick xmlns:r="http://schemas.openxmlformats.org/officeDocument/2006/relationships" r:id="rId5"/>
          <a:extLst>
            <a:ext uri="{FF2B5EF4-FFF2-40B4-BE49-F238E27FC236}">
              <a16:creationId xmlns:a16="http://schemas.microsoft.com/office/drawing/2014/main" id="{D99EFCA8-232E-45E4-BBDA-876D2D0C9171}"/>
            </a:ext>
          </a:extLst>
        </xdr:cNvPr>
        <xdr:cNvSpPr/>
      </xdr:nvSpPr>
      <xdr:spPr>
        <a:xfrm>
          <a:off x="9847940" y="76201"/>
          <a:ext cx="1170216" cy="1088572"/>
        </a:xfrm>
        <a:prstGeom prst="ellipse">
          <a:avLst/>
        </a:prstGeom>
        <a:solidFill>
          <a:schemeClr val="accent1">
            <a:lumMod val="40000"/>
            <a:lumOff val="6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chemeClr val="tx1"/>
              </a:solidFill>
            </a:rPr>
            <a:t>CAT-3</a:t>
          </a:r>
        </a:p>
      </xdr:txBody>
    </xdr:sp>
    <xdr:clientData/>
  </xdr:twoCellAnchor>
  <xdr:twoCellAnchor>
    <xdr:from>
      <xdr:col>8</xdr:col>
      <xdr:colOff>144233</xdr:colOff>
      <xdr:row>0</xdr:row>
      <xdr:rowOff>76201</xdr:rowOff>
    </xdr:from>
    <xdr:to>
      <xdr:col>8</xdr:col>
      <xdr:colOff>1314449</xdr:colOff>
      <xdr:row>2</xdr:row>
      <xdr:rowOff>157844</xdr:rowOff>
    </xdr:to>
    <xdr:sp macro="" textlink="">
      <xdr:nvSpPr>
        <xdr:cNvPr id="7" name="Oval 6">
          <a:hlinkClick xmlns:r="http://schemas.openxmlformats.org/officeDocument/2006/relationships" r:id="rId6"/>
          <a:extLst>
            <a:ext uri="{FF2B5EF4-FFF2-40B4-BE49-F238E27FC236}">
              <a16:creationId xmlns:a16="http://schemas.microsoft.com/office/drawing/2014/main" id="{D27D0960-D74F-4BA1-AA3B-EDBCF47F4A9C}"/>
            </a:ext>
          </a:extLst>
        </xdr:cNvPr>
        <xdr:cNvSpPr/>
      </xdr:nvSpPr>
      <xdr:spPr>
        <a:xfrm>
          <a:off x="11220447" y="76201"/>
          <a:ext cx="1170216" cy="1088572"/>
        </a:xfrm>
        <a:prstGeom prst="ellipse">
          <a:avLst/>
        </a:prstGeom>
        <a:solidFill>
          <a:schemeClr val="accent1">
            <a:lumMod val="40000"/>
            <a:lumOff val="6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chemeClr val="tx1"/>
              </a:solidFill>
            </a:rPr>
            <a:t>CAT-4</a:t>
          </a:r>
        </a:p>
      </xdr:txBody>
    </xdr:sp>
    <xdr:clientData/>
  </xdr:twoCellAnchor>
  <xdr:twoCellAnchor>
    <xdr:from>
      <xdr:col>5</xdr:col>
      <xdr:colOff>796469</xdr:colOff>
      <xdr:row>0</xdr:row>
      <xdr:rowOff>375559</xdr:rowOff>
    </xdr:from>
    <xdr:to>
      <xdr:col>6</xdr:col>
      <xdr:colOff>535215</xdr:colOff>
      <xdr:row>1</xdr:row>
      <xdr:rowOff>361952</xdr:rowOff>
    </xdr:to>
    <xdr:sp macro="" textlink="">
      <xdr:nvSpPr>
        <xdr:cNvPr id="11" name="TextBox 10">
          <a:extLst>
            <a:ext uri="{FF2B5EF4-FFF2-40B4-BE49-F238E27FC236}">
              <a16:creationId xmlns:a16="http://schemas.microsoft.com/office/drawing/2014/main" id="{FA8F41FB-1D32-4CEE-A033-A85D6AC3CD57}"/>
            </a:ext>
          </a:extLst>
        </xdr:cNvPr>
        <xdr:cNvSpPr txBox="1"/>
      </xdr:nvSpPr>
      <xdr:spPr>
        <a:xfrm>
          <a:off x="7287076" y="375559"/>
          <a:ext cx="704853" cy="489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800"/>
            <a:t>+</a:t>
          </a:r>
        </a:p>
      </xdr:txBody>
    </xdr:sp>
    <xdr:clientData/>
  </xdr:twoCellAnchor>
  <xdr:twoCellAnchor>
    <xdr:from>
      <xdr:col>6</xdr:col>
      <xdr:colOff>1692725</xdr:colOff>
      <xdr:row>0</xdr:row>
      <xdr:rowOff>375559</xdr:rowOff>
    </xdr:from>
    <xdr:to>
      <xdr:col>7</xdr:col>
      <xdr:colOff>315685</xdr:colOff>
      <xdr:row>1</xdr:row>
      <xdr:rowOff>361952</xdr:rowOff>
    </xdr:to>
    <xdr:sp macro="" textlink="">
      <xdr:nvSpPr>
        <xdr:cNvPr id="12" name="TextBox 11">
          <a:extLst>
            <a:ext uri="{FF2B5EF4-FFF2-40B4-BE49-F238E27FC236}">
              <a16:creationId xmlns:a16="http://schemas.microsoft.com/office/drawing/2014/main" id="{DDB1A6F5-87E7-4E2E-9810-EBA0033A9C18}"/>
            </a:ext>
          </a:extLst>
        </xdr:cNvPr>
        <xdr:cNvSpPr txBox="1"/>
      </xdr:nvSpPr>
      <xdr:spPr>
        <a:xfrm>
          <a:off x="9149439" y="375559"/>
          <a:ext cx="704853" cy="489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800"/>
            <a:t>+</a:t>
          </a:r>
        </a:p>
      </xdr:txBody>
    </xdr:sp>
    <xdr:clientData/>
  </xdr:twoCellAnchor>
  <xdr:twoCellAnchor editAs="oneCell">
    <xdr:from>
      <xdr:col>4</xdr:col>
      <xdr:colOff>238125</xdr:colOff>
      <xdr:row>2</xdr:row>
      <xdr:rowOff>495300</xdr:rowOff>
    </xdr:from>
    <xdr:to>
      <xdr:col>6</xdr:col>
      <xdr:colOff>66675</xdr:colOff>
      <xdr:row>2</xdr:row>
      <xdr:rowOff>1276350</xdr:rowOff>
    </xdr:to>
    <xdr:pic>
      <xdr:nvPicPr>
        <xdr:cNvPr id="8" name="Picture 7">
          <a:extLst>
            <a:ext uri="{FF2B5EF4-FFF2-40B4-BE49-F238E27FC236}">
              <a16:creationId xmlns:a16="http://schemas.microsoft.com/office/drawing/2014/main" id="{F09505CF-11AF-C829-90A9-5550C4176468}"/>
            </a:ext>
            <a:ext uri="{147F2762-F138-4A5C-976F-8EAC2B608ADB}">
              <a16:predDERef xmlns:a16="http://schemas.microsoft.com/office/drawing/2014/main" pred="{6D2856C4-BC9E-1437-8B92-958FD725A3DD}"/>
            </a:ext>
          </a:extLst>
        </xdr:cNvPr>
        <xdr:cNvPicPr>
          <a:picLocks noChangeAspect="1"/>
        </xdr:cNvPicPr>
      </xdr:nvPicPr>
      <xdr:blipFill>
        <a:blip xmlns:r="http://schemas.openxmlformats.org/officeDocument/2006/relationships" r:embed="rId7"/>
        <a:stretch>
          <a:fillRect/>
        </a:stretch>
      </xdr:blipFill>
      <xdr:spPr>
        <a:xfrm>
          <a:off x="5800725" y="1504950"/>
          <a:ext cx="1724025" cy="781050"/>
        </a:xfrm>
        <a:prstGeom prst="rect">
          <a:avLst/>
        </a:prstGeom>
      </xdr:spPr>
    </xdr:pic>
    <xdr:clientData/>
  </xdr:twoCellAnchor>
  <xdr:twoCellAnchor editAs="oneCell">
    <xdr:from>
      <xdr:col>6</xdr:col>
      <xdr:colOff>200025</xdr:colOff>
      <xdr:row>2</xdr:row>
      <xdr:rowOff>504825</xdr:rowOff>
    </xdr:from>
    <xdr:to>
      <xdr:col>6</xdr:col>
      <xdr:colOff>1952625</xdr:colOff>
      <xdr:row>2</xdr:row>
      <xdr:rowOff>1285875</xdr:rowOff>
    </xdr:to>
    <xdr:pic>
      <xdr:nvPicPr>
        <xdr:cNvPr id="19" name="Picture 18">
          <a:extLst>
            <a:ext uri="{FF2B5EF4-FFF2-40B4-BE49-F238E27FC236}">
              <a16:creationId xmlns:a16="http://schemas.microsoft.com/office/drawing/2014/main" id="{7C676226-C58B-2E91-9978-75E079D97E2A}"/>
            </a:ext>
            <a:ext uri="{147F2762-F138-4A5C-976F-8EAC2B608ADB}">
              <a16:predDERef xmlns:a16="http://schemas.microsoft.com/office/drawing/2014/main" pred="{F09505CF-11AF-C829-90A9-5550C4176468}"/>
            </a:ext>
          </a:extLst>
        </xdr:cNvPr>
        <xdr:cNvPicPr>
          <a:picLocks noChangeAspect="1"/>
        </xdr:cNvPicPr>
      </xdr:nvPicPr>
      <xdr:blipFill>
        <a:blip xmlns:r="http://schemas.openxmlformats.org/officeDocument/2006/relationships" r:embed="rId8"/>
        <a:stretch>
          <a:fillRect/>
        </a:stretch>
      </xdr:blipFill>
      <xdr:spPr>
        <a:xfrm>
          <a:off x="7658100" y="1514475"/>
          <a:ext cx="1752600" cy="781050"/>
        </a:xfrm>
        <a:prstGeom prst="rect">
          <a:avLst/>
        </a:prstGeom>
      </xdr:spPr>
    </xdr:pic>
    <xdr:clientData/>
  </xdr:twoCellAnchor>
  <xdr:twoCellAnchor editAs="oneCell">
    <xdr:from>
      <xdr:col>7</xdr:col>
      <xdr:colOff>495300</xdr:colOff>
      <xdr:row>2</xdr:row>
      <xdr:rowOff>514350</xdr:rowOff>
    </xdr:from>
    <xdr:to>
      <xdr:col>8</xdr:col>
      <xdr:colOff>704850</xdr:colOff>
      <xdr:row>2</xdr:row>
      <xdr:rowOff>1285875</xdr:rowOff>
    </xdr:to>
    <xdr:pic>
      <xdr:nvPicPr>
        <xdr:cNvPr id="21" name="Picture 20">
          <a:extLst>
            <a:ext uri="{FF2B5EF4-FFF2-40B4-BE49-F238E27FC236}">
              <a16:creationId xmlns:a16="http://schemas.microsoft.com/office/drawing/2014/main" id="{AC48E933-E068-5A7A-2B59-C8FFE85BC3E9}"/>
            </a:ext>
            <a:ext uri="{147F2762-F138-4A5C-976F-8EAC2B608ADB}">
              <a16:predDERef xmlns:a16="http://schemas.microsoft.com/office/drawing/2014/main" pred="{7C676226-C58B-2E91-9978-75E079D97E2A}"/>
            </a:ext>
          </a:extLst>
        </xdr:cNvPr>
        <xdr:cNvPicPr>
          <a:picLocks noChangeAspect="1"/>
        </xdr:cNvPicPr>
      </xdr:nvPicPr>
      <xdr:blipFill>
        <a:blip xmlns:r="http://schemas.openxmlformats.org/officeDocument/2006/relationships" r:embed="rId9"/>
        <a:stretch>
          <a:fillRect/>
        </a:stretch>
      </xdr:blipFill>
      <xdr:spPr>
        <a:xfrm>
          <a:off x="10029825" y="1524000"/>
          <a:ext cx="1752600" cy="771525"/>
        </a:xfrm>
        <a:prstGeom prst="rect">
          <a:avLst/>
        </a:prstGeom>
      </xdr:spPr>
    </xdr:pic>
    <xdr:clientData/>
  </xdr:twoCellAnchor>
  <xdr:twoCellAnchor>
    <xdr:from>
      <xdr:col>7</xdr:col>
      <xdr:colOff>266700</xdr:colOff>
      <xdr:row>2</xdr:row>
      <xdr:rowOff>485775</xdr:rowOff>
    </xdr:from>
    <xdr:to>
      <xdr:col>8</xdr:col>
      <xdr:colOff>1400175</xdr:colOff>
      <xdr:row>2</xdr:row>
      <xdr:rowOff>485775</xdr:rowOff>
    </xdr:to>
    <xdr:cxnSp macro="">
      <xdr:nvCxnSpPr>
        <xdr:cNvPr id="22" name="Straight Connector 21">
          <a:extLst>
            <a:ext uri="{FF2B5EF4-FFF2-40B4-BE49-F238E27FC236}">
              <a16:creationId xmlns:a16="http://schemas.microsoft.com/office/drawing/2014/main" id="{FC22A149-D980-7337-91C8-CA7F75881EE5}"/>
            </a:ext>
            <a:ext uri="{147F2762-F138-4A5C-976F-8EAC2B608ADB}">
              <a16:predDERef xmlns:a16="http://schemas.microsoft.com/office/drawing/2014/main" pred="{AC48E933-E068-5A7A-2B59-C8FFE85BC3E9}"/>
            </a:ext>
          </a:extLst>
        </xdr:cNvPr>
        <xdr:cNvCxnSpPr>
          <a:cxnSpLocks/>
        </xdr:cNvCxnSpPr>
      </xdr:nvCxnSpPr>
      <xdr:spPr>
        <a:xfrm>
          <a:off x="9801225" y="1495425"/>
          <a:ext cx="2676525" cy="0"/>
        </a:xfrm>
        <a:prstGeom prst="line">
          <a:avLst/>
        </a:prstGeom>
        <a:ln w="38100">
          <a:solidFill>
            <a:srgbClr val="0070B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244929</xdr:colOff>
      <xdr:row>0</xdr:row>
      <xdr:rowOff>108858</xdr:rowOff>
    </xdr:from>
    <xdr:to>
      <xdr:col>0</xdr:col>
      <xdr:colOff>2136322</xdr:colOff>
      <xdr:row>2</xdr:row>
      <xdr:rowOff>301909</xdr:rowOff>
    </xdr:to>
    <xdr:pic>
      <xdr:nvPicPr>
        <xdr:cNvPr id="3" name="Picture 2">
          <a:hlinkClick xmlns:r="http://schemas.openxmlformats.org/officeDocument/2006/relationships" r:id="rId1"/>
          <a:extLst>
            <a:ext uri="{FF2B5EF4-FFF2-40B4-BE49-F238E27FC236}">
              <a16:creationId xmlns:a16="http://schemas.microsoft.com/office/drawing/2014/main" id="{5D18CEB8-F5BD-4181-A635-C312B1B8AB1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4929" y="108858"/>
          <a:ext cx="1891393" cy="106390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323850</xdr:colOff>
      <xdr:row>0</xdr:row>
      <xdr:rowOff>161925</xdr:rowOff>
    </xdr:from>
    <xdr:to>
      <xdr:col>0</xdr:col>
      <xdr:colOff>1915584</xdr:colOff>
      <xdr:row>2</xdr:row>
      <xdr:rowOff>133350</xdr:rowOff>
    </xdr:to>
    <xdr:pic>
      <xdr:nvPicPr>
        <xdr:cNvPr id="3" name="Picture 2">
          <a:hlinkClick xmlns:r="http://schemas.openxmlformats.org/officeDocument/2006/relationships" r:id="rId1"/>
          <a:extLst>
            <a:ext uri="{FF2B5EF4-FFF2-40B4-BE49-F238E27FC236}">
              <a16:creationId xmlns:a16="http://schemas.microsoft.com/office/drawing/2014/main" id="{F55CD789-BD45-45FB-A384-AD78BBF01DD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3850" y="161925"/>
          <a:ext cx="1591734" cy="8953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336177</xdr:colOff>
      <xdr:row>0</xdr:row>
      <xdr:rowOff>56030</xdr:rowOff>
    </xdr:from>
    <xdr:to>
      <xdr:col>0</xdr:col>
      <xdr:colOff>2084295</xdr:colOff>
      <xdr:row>2</xdr:row>
      <xdr:rowOff>322170</xdr:rowOff>
    </xdr:to>
    <xdr:pic>
      <xdr:nvPicPr>
        <xdr:cNvPr id="3" name="Picture 2">
          <a:hlinkClick xmlns:r="http://schemas.openxmlformats.org/officeDocument/2006/relationships" r:id="rId1"/>
          <a:extLst>
            <a:ext uri="{FF2B5EF4-FFF2-40B4-BE49-F238E27FC236}">
              <a16:creationId xmlns:a16="http://schemas.microsoft.com/office/drawing/2014/main" id="{F2423AA6-DA2C-4715-8A58-47D5D05FB48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6177" y="56030"/>
          <a:ext cx="1748118" cy="983316"/>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276225</xdr:colOff>
      <xdr:row>0</xdr:row>
      <xdr:rowOff>104775</xdr:rowOff>
    </xdr:from>
    <xdr:to>
      <xdr:col>1</xdr:col>
      <xdr:colOff>2121959</xdr:colOff>
      <xdr:row>2</xdr:row>
      <xdr:rowOff>304800</xdr:rowOff>
    </xdr:to>
    <xdr:pic>
      <xdr:nvPicPr>
        <xdr:cNvPr id="3" name="Picture 2">
          <a:hlinkClick xmlns:r="http://schemas.openxmlformats.org/officeDocument/2006/relationships" r:id="rId1"/>
          <a:extLst>
            <a:ext uri="{FF2B5EF4-FFF2-40B4-BE49-F238E27FC236}">
              <a16:creationId xmlns:a16="http://schemas.microsoft.com/office/drawing/2014/main" id="{A31CDE44-4071-4314-8E3A-7AFB1B514C7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6225" y="104775"/>
          <a:ext cx="1845734" cy="103822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304800</xdr:colOff>
      <xdr:row>0</xdr:row>
      <xdr:rowOff>161925</xdr:rowOff>
    </xdr:from>
    <xdr:to>
      <xdr:col>0</xdr:col>
      <xdr:colOff>2028825</xdr:colOff>
      <xdr:row>2</xdr:row>
      <xdr:rowOff>274439</xdr:rowOff>
    </xdr:to>
    <xdr:pic>
      <xdr:nvPicPr>
        <xdr:cNvPr id="3" name="Picture 2">
          <a:hlinkClick xmlns:r="http://schemas.openxmlformats.org/officeDocument/2006/relationships" r:id="rId1"/>
          <a:extLst>
            <a:ext uri="{FF2B5EF4-FFF2-40B4-BE49-F238E27FC236}">
              <a16:creationId xmlns:a16="http://schemas.microsoft.com/office/drawing/2014/main" id="{543D628B-829B-43A1-A77E-2B43958FA20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4800" y="161925"/>
          <a:ext cx="1724025" cy="96976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0</xdr:col>
      <xdr:colOff>717177</xdr:colOff>
      <xdr:row>11</xdr:row>
      <xdr:rowOff>56029</xdr:rowOff>
    </xdr:from>
    <xdr:to>
      <xdr:col>0</xdr:col>
      <xdr:colOff>1383927</xdr:colOff>
      <xdr:row>12</xdr:row>
      <xdr:rowOff>186017</xdr:rowOff>
    </xdr:to>
    <xdr:sp macro="" textlink="">
      <xdr:nvSpPr>
        <xdr:cNvPr id="3" name="Rectangle: Beveled 2">
          <a:hlinkClick xmlns:r="http://schemas.openxmlformats.org/officeDocument/2006/relationships" r:id="rId1"/>
          <a:extLst>
            <a:ext uri="{FF2B5EF4-FFF2-40B4-BE49-F238E27FC236}">
              <a16:creationId xmlns:a16="http://schemas.microsoft.com/office/drawing/2014/main" id="{5276B688-6D0D-48E7-A17F-A1E6E7B68788}"/>
            </a:ext>
          </a:extLst>
        </xdr:cNvPr>
        <xdr:cNvSpPr/>
      </xdr:nvSpPr>
      <xdr:spPr>
        <a:xfrm>
          <a:off x="717177" y="3496235"/>
          <a:ext cx="666750" cy="34290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Back</a:t>
          </a:r>
        </a:p>
      </xdr:txBody>
    </xdr:sp>
    <xdr:clientData/>
  </xdr:twoCellAnchor>
  <xdr:twoCellAnchor>
    <xdr:from>
      <xdr:col>0</xdr:col>
      <xdr:colOff>683559</xdr:colOff>
      <xdr:row>40</xdr:row>
      <xdr:rowOff>100851</xdr:rowOff>
    </xdr:from>
    <xdr:to>
      <xdr:col>0</xdr:col>
      <xdr:colOff>1350309</xdr:colOff>
      <xdr:row>42</xdr:row>
      <xdr:rowOff>17928</xdr:rowOff>
    </xdr:to>
    <xdr:sp macro="" textlink="">
      <xdr:nvSpPr>
        <xdr:cNvPr id="4" name="Rectangle: Beveled 3">
          <a:hlinkClick xmlns:r="http://schemas.openxmlformats.org/officeDocument/2006/relationships" r:id="rId1"/>
          <a:extLst>
            <a:ext uri="{FF2B5EF4-FFF2-40B4-BE49-F238E27FC236}">
              <a16:creationId xmlns:a16="http://schemas.microsoft.com/office/drawing/2014/main" id="{DC0A7BCC-6920-4C2F-BF3A-01959A1A2436}"/>
            </a:ext>
          </a:extLst>
        </xdr:cNvPr>
        <xdr:cNvSpPr/>
      </xdr:nvSpPr>
      <xdr:spPr>
        <a:xfrm>
          <a:off x="683559" y="9849969"/>
          <a:ext cx="666750" cy="34290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Back</a:t>
          </a:r>
        </a:p>
      </xdr:txBody>
    </xdr:sp>
    <xdr:clientData/>
  </xdr:twoCellAnchor>
  <xdr:twoCellAnchor editAs="oneCell">
    <xdr:from>
      <xdr:col>0</xdr:col>
      <xdr:colOff>324971</xdr:colOff>
      <xdr:row>0</xdr:row>
      <xdr:rowOff>201706</xdr:rowOff>
    </xdr:from>
    <xdr:to>
      <xdr:col>0</xdr:col>
      <xdr:colOff>2005853</xdr:colOff>
      <xdr:row>2</xdr:row>
      <xdr:rowOff>250731</xdr:rowOff>
    </xdr:to>
    <xdr:pic>
      <xdr:nvPicPr>
        <xdr:cNvPr id="5" name="Picture 4">
          <a:hlinkClick xmlns:r="http://schemas.openxmlformats.org/officeDocument/2006/relationships" r:id="rId2"/>
          <a:extLst>
            <a:ext uri="{FF2B5EF4-FFF2-40B4-BE49-F238E27FC236}">
              <a16:creationId xmlns:a16="http://schemas.microsoft.com/office/drawing/2014/main" id="{F3C85911-DA00-45E4-9C81-C497D2D5D5F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24971" y="201706"/>
          <a:ext cx="1680882" cy="945496"/>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0</xdr:col>
      <xdr:colOff>618634</xdr:colOff>
      <xdr:row>10</xdr:row>
      <xdr:rowOff>9820</xdr:rowOff>
    </xdr:from>
    <xdr:to>
      <xdr:col>0</xdr:col>
      <xdr:colOff>1285384</xdr:colOff>
      <xdr:row>11</xdr:row>
      <xdr:rowOff>146509</xdr:rowOff>
    </xdr:to>
    <xdr:sp macro="" textlink="">
      <xdr:nvSpPr>
        <xdr:cNvPr id="3" name="Rectangle: Beveled 2">
          <a:hlinkClick xmlns:r="http://schemas.openxmlformats.org/officeDocument/2006/relationships" r:id="rId1"/>
          <a:extLst>
            <a:ext uri="{FF2B5EF4-FFF2-40B4-BE49-F238E27FC236}">
              <a16:creationId xmlns:a16="http://schemas.microsoft.com/office/drawing/2014/main" id="{FA5BC1A3-4605-4593-B226-167AEE123976}"/>
            </a:ext>
          </a:extLst>
        </xdr:cNvPr>
        <xdr:cNvSpPr/>
      </xdr:nvSpPr>
      <xdr:spPr>
        <a:xfrm>
          <a:off x="618634" y="2877140"/>
          <a:ext cx="666750" cy="34290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Back</a:t>
          </a:r>
        </a:p>
      </xdr:txBody>
    </xdr:sp>
    <xdr:clientData/>
  </xdr:twoCellAnchor>
  <xdr:twoCellAnchor>
    <xdr:from>
      <xdr:col>0</xdr:col>
      <xdr:colOff>657912</xdr:colOff>
      <xdr:row>126</xdr:row>
      <xdr:rowOff>58918</xdr:rowOff>
    </xdr:from>
    <xdr:to>
      <xdr:col>0</xdr:col>
      <xdr:colOff>1324662</xdr:colOff>
      <xdr:row>127</xdr:row>
      <xdr:rowOff>195606</xdr:rowOff>
    </xdr:to>
    <xdr:sp macro="" textlink="">
      <xdr:nvSpPr>
        <xdr:cNvPr id="4" name="Rectangle: Beveled 3">
          <a:hlinkClick xmlns:r="http://schemas.openxmlformats.org/officeDocument/2006/relationships" r:id="rId1"/>
          <a:extLst>
            <a:ext uri="{FF2B5EF4-FFF2-40B4-BE49-F238E27FC236}">
              <a16:creationId xmlns:a16="http://schemas.microsoft.com/office/drawing/2014/main" id="{2B5F839E-EF6C-4B46-ADD0-F79F086147F2}"/>
            </a:ext>
          </a:extLst>
        </xdr:cNvPr>
        <xdr:cNvSpPr/>
      </xdr:nvSpPr>
      <xdr:spPr>
        <a:xfrm>
          <a:off x="657912" y="28103660"/>
          <a:ext cx="666750" cy="34290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Back</a:t>
          </a:r>
        </a:p>
      </xdr:txBody>
    </xdr:sp>
    <xdr:clientData/>
  </xdr:twoCellAnchor>
  <xdr:twoCellAnchor editAs="oneCell">
    <xdr:from>
      <xdr:col>0</xdr:col>
      <xdr:colOff>324047</xdr:colOff>
      <xdr:row>0</xdr:row>
      <xdr:rowOff>137474</xdr:rowOff>
    </xdr:from>
    <xdr:to>
      <xdr:col>0</xdr:col>
      <xdr:colOff>1895182</xdr:colOff>
      <xdr:row>2</xdr:row>
      <xdr:rowOff>255309</xdr:rowOff>
    </xdr:to>
    <xdr:pic>
      <xdr:nvPicPr>
        <xdr:cNvPr id="5" name="Picture 4">
          <a:hlinkClick xmlns:r="http://schemas.openxmlformats.org/officeDocument/2006/relationships" r:id="rId2"/>
          <a:extLst>
            <a:ext uri="{FF2B5EF4-FFF2-40B4-BE49-F238E27FC236}">
              <a16:creationId xmlns:a16="http://schemas.microsoft.com/office/drawing/2014/main" id="{ADD72915-C6F8-4573-844E-47A08214AA1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24047" y="137474"/>
          <a:ext cx="1571135" cy="88376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0</xdr:col>
      <xdr:colOff>649941</xdr:colOff>
      <xdr:row>9</xdr:row>
      <xdr:rowOff>0</xdr:rowOff>
    </xdr:from>
    <xdr:to>
      <xdr:col>0</xdr:col>
      <xdr:colOff>1316691</xdr:colOff>
      <xdr:row>10</xdr:row>
      <xdr:rowOff>118782</xdr:rowOff>
    </xdr:to>
    <xdr:sp macro="" textlink="">
      <xdr:nvSpPr>
        <xdr:cNvPr id="3" name="Rectangle: Beveled 2">
          <a:hlinkClick xmlns:r="http://schemas.openxmlformats.org/officeDocument/2006/relationships" r:id="rId1"/>
          <a:extLst>
            <a:ext uri="{FF2B5EF4-FFF2-40B4-BE49-F238E27FC236}">
              <a16:creationId xmlns:a16="http://schemas.microsoft.com/office/drawing/2014/main" id="{1ACF4467-6B4F-4F70-A44C-3C006B0BF700}"/>
            </a:ext>
          </a:extLst>
        </xdr:cNvPr>
        <xdr:cNvSpPr/>
      </xdr:nvSpPr>
      <xdr:spPr>
        <a:xfrm>
          <a:off x="649941" y="2823882"/>
          <a:ext cx="666750" cy="34290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Back</a:t>
          </a:r>
        </a:p>
      </xdr:txBody>
    </xdr:sp>
    <xdr:clientData/>
  </xdr:twoCellAnchor>
  <xdr:twoCellAnchor>
    <xdr:from>
      <xdr:col>0</xdr:col>
      <xdr:colOff>683559</xdr:colOff>
      <xdr:row>93</xdr:row>
      <xdr:rowOff>44823</xdr:rowOff>
    </xdr:from>
    <xdr:to>
      <xdr:col>0</xdr:col>
      <xdr:colOff>1350309</xdr:colOff>
      <xdr:row>94</xdr:row>
      <xdr:rowOff>163606</xdr:rowOff>
    </xdr:to>
    <xdr:sp macro="" textlink="">
      <xdr:nvSpPr>
        <xdr:cNvPr id="4" name="Rectangle: Beveled 3">
          <a:hlinkClick xmlns:r="http://schemas.openxmlformats.org/officeDocument/2006/relationships" r:id="rId1"/>
          <a:extLst>
            <a:ext uri="{FF2B5EF4-FFF2-40B4-BE49-F238E27FC236}">
              <a16:creationId xmlns:a16="http://schemas.microsoft.com/office/drawing/2014/main" id="{8E186D7A-FABC-4D00-AA1B-F7CD8CB3AB42}"/>
            </a:ext>
          </a:extLst>
        </xdr:cNvPr>
        <xdr:cNvSpPr/>
      </xdr:nvSpPr>
      <xdr:spPr>
        <a:xfrm>
          <a:off x="683559" y="23319441"/>
          <a:ext cx="666750" cy="34290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Back</a:t>
          </a:r>
        </a:p>
      </xdr:txBody>
    </xdr:sp>
    <xdr:clientData/>
  </xdr:twoCellAnchor>
  <xdr:twoCellAnchor>
    <xdr:from>
      <xdr:col>0</xdr:col>
      <xdr:colOff>829235</xdr:colOff>
      <xdr:row>161</xdr:row>
      <xdr:rowOff>212912</xdr:rowOff>
    </xdr:from>
    <xdr:to>
      <xdr:col>0</xdr:col>
      <xdr:colOff>1495985</xdr:colOff>
      <xdr:row>163</xdr:row>
      <xdr:rowOff>96370</xdr:rowOff>
    </xdr:to>
    <xdr:sp macro="" textlink="">
      <xdr:nvSpPr>
        <xdr:cNvPr id="5" name="Rectangle: Beveled 4">
          <a:hlinkClick xmlns:r="http://schemas.openxmlformats.org/officeDocument/2006/relationships" r:id="rId1"/>
          <a:extLst>
            <a:ext uri="{FF2B5EF4-FFF2-40B4-BE49-F238E27FC236}">
              <a16:creationId xmlns:a16="http://schemas.microsoft.com/office/drawing/2014/main" id="{EE7C0F49-4F62-4878-926A-58A8D2518817}"/>
            </a:ext>
          </a:extLst>
        </xdr:cNvPr>
        <xdr:cNvSpPr/>
      </xdr:nvSpPr>
      <xdr:spPr>
        <a:xfrm>
          <a:off x="829235" y="39411088"/>
          <a:ext cx="666750" cy="34290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Back</a:t>
          </a:r>
        </a:p>
      </xdr:txBody>
    </xdr:sp>
    <xdr:clientData/>
  </xdr:twoCellAnchor>
  <xdr:twoCellAnchor>
    <xdr:from>
      <xdr:col>0</xdr:col>
      <xdr:colOff>818030</xdr:colOff>
      <xdr:row>77</xdr:row>
      <xdr:rowOff>224117</xdr:rowOff>
    </xdr:from>
    <xdr:to>
      <xdr:col>0</xdr:col>
      <xdr:colOff>1484780</xdr:colOff>
      <xdr:row>79</xdr:row>
      <xdr:rowOff>107576</xdr:rowOff>
    </xdr:to>
    <xdr:sp macro="" textlink="">
      <xdr:nvSpPr>
        <xdr:cNvPr id="6" name="Rectangle: Beveled 5">
          <a:hlinkClick xmlns:r="http://schemas.openxmlformats.org/officeDocument/2006/relationships" r:id="rId1"/>
          <a:extLst>
            <a:ext uri="{FF2B5EF4-FFF2-40B4-BE49-F238E27FC236}">
              <a16:creationId xmlns:a16="http://schemas.microsoft.com/office/drawing/2014/main" id="{5D4C608E-52D9-418E-8A03-B100AE39F2CC}"/>
            </a:ext>
          </a:extLst>
        </xdr:cNvPr>
        <xdr:cNvSpPr/>
      </xdr:nvSpPr>
      <xdr:spPr>
        <a:xfrm>
          <a:off x="818030" y="19666323"/>
          <a:ext cx="666750" cy="34290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Back</a:t>
          </a:r>
        </a:p>
      </xdr:txBody>
    </xdr:sp>
    <xdr:clientData/>
  </xdr:twoCellAnchor>
  <xdr:twoCellAnchor>
    <xdr:from>
      <xdr:col>0</xdr:col>
      <xdr:colOff>638735</xdr:colOff>
      <xdr:row>44</xdr:row>
      <xdr:rowOff>190500</xdr:rowOff>
    </xdr:from>
    <xdr:to>
      <xdr:col>0</xdr:col>
      <xdr:colOff>1305485</xdr:colOff>
      <xdr:row>46</xdr:row>
      <xdr:rowOff>73959</xdr:rowOff>
    </xdr:to>
    <xdr:sp macro="" textlink="">
      <xdr:nvSpPr>
        <xdr:cNvPr id="7" name="Rectangle: Beveled 6">
          <a:hlinkClick xmlns:r="http://schemas.openxmlformats.org/officeDocument/2006/relationships" r:id="rId1"/>
          <a:extLst>
            <a:ext uri="{FF2B5EF4-FFF2-40B4-BE49-F238E27FC236}">
              <a16:creationId xmlns:a16="http://schemas.microsoft.com/office/drawing/2014/main" id="{C541A1CE-33AF-4693-8043-0029CB13BBAB}"/>
            </a:ext>
          </a:extLst>
        </xdr:cNvPr>
        <xdr:cNvSpPr/>
      </xdr:nvSpPr>
      <xdr:spPr>
        <a:xfrm>
          <a:off x="638735" y="11082618"/>
          <a:ext cx="666750" cy="34290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Back</a:t>
          </a:r>
        </a:p>
      </xdr:txBody>
    </xdr:sp>
    <xdr:clientData/>
  </xdr:twoCellAnchor>
  <xdr:twoCellAnchor>
    <xdr:from>
      <xdr:col>0</xdr:col>
      <xdr:colOff>728382</xdr:colOff>
      <xdr:row>129</xdr:row>
      <xdr:rowOff>22412</xdr:rowOff>
    </xdr:from>
    <xdr:to>
      <xdr:col>0</xdr:col>
      <xdr:colOff>1395132</xdr:colOff>
      <xdr:row>130</xdr:row>
      <xdr:rowOff>129989</xdr:rowOff>
    </xdr:to>
    <xdr:sp macro="" textlink="">
      <xdr:nvSpPr>
        <xdr:cNvPr id="8" name="Rectangle: Beveled 7">
          <a:hlinkClick xmlns:r="http://schemas.openxmlformats.org/officeDocument/2006/relationships" r:id="rId1"/>
          <a:extLst>
            <a:ext uri="{FF2B5EF4-FFF2-40B4-BE49-F238E27FC236}">
              <a16:creationId xmlns:a16="http://schemas.microsoft.com/office/drawing/2014/main" id="{A7B441CE-8A29-4506-A9F7-07ABD21C411C}"/>
            </a:ext>
          </a:extLst>
        </xdr:cNvPr>
        <xdr:cNvSpPr/>
      </xdr:nvSpPr>
      <xdr:spPr>
        <a:xfrm>
          <a:off x="728382" y="31589383"/>
          <a:ext cx="666750" cy="34290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Back</a:t>
          </a:r>
        </a:p>
      </xdr:txBody>
    </xdr:sp>
    <xdr:clientData/>
  </xdr:twoCellAnchor>
  <xdr:twoCellAnchor>
    <xdr:from>
      <xdr:col>0</xdr:col>
      <xdr:colOff>784412</xdr:colOff>
      <xdr:row>36</xdr:row>
      <xdr:rowOff>145677</xdr:rowOff>
    </xdr:from>
    <xdr:to>
      <xdr:col>0</xdr:col>
      <xdr:colOff>1451162</xdr:colOff>
      <xdr:row>38</xdr:row>
      <xdr:rowOff>6724</xdr:rowOff>
    </xdr:to>
    <xdr:sp macro="" textlink="">
      <xdr:nvSpPr>
        <xdr:cNvPr id="9" name="Rectangle: Beveled 8">
          <a:hlinkClick xmlns:r="http://schemas.openxmlformats.org/officeDocument/2006/relationships" r:id="rId1"/>
          <a:extLst>
            <a:ext uri="{FF2B5EF4-FFF2-40B4-BE49-F238E27FC236}">
              <a16:creationId xmlns:a16="http://schemas.microsoft.com/office/drawing/2014/main" id="{123795CA-8869-4884-86EA-1EE877F9051B}"/>
            </a:ext>
          </a:extLst>
        </xdr:cNvPr>
        <xdr:cNvSpPr/>
      </xdr:nvSpPr>
      <xdr:spPr>
        <a:xfrm>
          <a:off x="784412" y="9155206"/>
          <a:ext cx="666750" cy="34290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Back</a:t>
          </a:r>
        </a:p>
      </xdr:txBody>
    </xdr:sp>
    <xdr:clientData/>
  </xdr:twoCellAnchor>
  <xdr:twoCellAnchor>
    <xdr:from>
      <xdr:col>0</xdr:col>
      <xdr:colOff>784412</xdr:colOff>
      <xdr:row>120</xdr:row>
      <xdr:rowOff>123264</xdr:rowOff>
    </xdr:from>
    <xdr:to>
      <xdr:col>0</xdr:col>
      <xdr:colOff>1451162</xdr:colOff>
      <xdr:row>121</xdr:row>
      <xdr:rowOff>230841</xdr:rowOff>
    </xdr:to>
    <xdr:sp macro="" textlink="">
      <xdr:nvSpPr>
        <xdr:cNvPr id="10" name="Rectangle: Beveled 9">
          <a:hlinkClick xmlns:r="http://schemas.openxmlformats.org/officeDocument/2006/relationships" r:id="rId1"/>
          <a:extLst>
            <a:ext uri="{FF2B5EF4-FFF2-40B4-BE49-F238E27FC236}">
              <a16:creationId xmlns:a16="http://schemas.microsoft.com/office/drawing/2014/main" id="{D062A6EA-8616-48AC-919B-A4FB296EDE89}"/>
            </a:ext>
          </a:extLst>
        </xdr:cNvPr>
        <xdr:cNvSpPr/>
      </xdr:nvSpPr>
      <xdr:spPr>
        <a:xfrm>
          <a:off x="784412" y="29583529"/>
          <a:ext cx="666750" cy="34290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Back</a:t>
          </a:r>
        </a:p>
      </xdr:txBody>
    </xdr:sp>
    <xdr:clientData/>
  </xdr:twoCellAnchor>
  <xdr:twoCellAnchor editAs="oneCell">
    <xdr:from>
      <xdr:col>0</xdr:col>
      <xdr:colOff>268941</xdr:colOff>
      <xdr:row>0</xdr:row>
      <xdr:rowOff>145676</xdr:rowOff>
    </xdr:from>
    <xdr:to>
      <xdr:col>0</xdr:col>
      <xdr:colOff>1961029</xdr:colOff>
      <xdr:row>2</xdr:row>
      <xdr:rowOff>268240</xdr:rowOff>
    </xdr:to>
    <xdr:pic>
      <xdr:nvPicPr>
        <xdr:cNvPr id="11" name="Picture 10">
          <a:hlinkClick xmlns:r="http://schemas.openxmlformats.org/officeDocument/2006/relationships" r:id="rId2"/>
          <a:extLst>
            <a:ext uri="{FF2B5EF4-FFF2-40B4-BE49-F238E27FC236}">
              <a16:creationId xmlns:a16="http://schemas.microsoft.com/office/drawing/2014/main" id="{4618FB30-C8DC-4AF9-84C1-7E41F06E14F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8941" y="145676"/>
          <a:ext cx="1692088" cy="951799"/>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771525</xdr:colOff>
      <xdr:row>2</xdr:row>
      <xdr:rowOff>38100</xdr:rowOff>
    </xdr:from>
    <xdr:to>
      <xdr:col>0</xdr:col>
      <xdr:colOff>1438275</xdr:colOff>
      <xdr:row>3</xdr:row>
      <xdr:rowOff>142875</xdr:rowOff>
    </xdr:to>
    <xdr:sp macro="" textlink="">
      <xdr:nvSpPr>
        <xdr:cNvPr id="2" name="Rectangle: Beveled 1">
          <a:hlinkClick xmlns:r="http://schemas.openxmlformats.org/officeDocument/2006/relationships" r:id="rId1"/>
          <a:extLst>
            <a:ext uri="{FF2B5EF4-FFF2-40B4-BE49-F238E27FC236}">
              <a16:creationId xmlns:a16="http://schemas.microsoft.com/office/drawing/2014/main" id="{BA942A8F-1359-47D0-88CC-1BBF03EEA888}"/>
            </a:ext>
          </a:extLst>
        </xdr:cNvPr>
        <xdr:cNvSpPr/>
      </xdr:nvSpPr>
      <xdr:spPr>
        <a:xfrm>
          <a:off x="771525" y="38100"/>
          <a:ext cx="666750" cy="34290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Back</a:t>
          </a:r>
        </a:p>
      </xdr:txBody>
    </xdr:sp>
    <xdr:clientData/>
  </xdr:twoCellAnchor>
  <xdr:twoCellAnchor>
    <xdr:from>
      <xdr:col>0</xdr:col>
      <xdr:colOff>523875</xdr:colOff>
      <xdr:row>0</xdr:row>
      <xdr:rowOff>114301</xdr:rowOff>
    </xdr:from>
    <xdr:to>
      <xdr:col>0</xdr:col>
      <xdr:colOff>1628775</xdr:colOff>
      <xdr:row>0</xdr:row>
      <xdr:rowOff>400051</xdr:rowOff>
    </xdr:to>
    <xdr:sp macro="" textlink="">
      <xdr:nvSpPr>
        <xdr:cNvPr id="4" name="Rectangle: Diagonal Corners Rounded 3">
          <a:hlinkClick xmlns:r="http://schemas.openxmlformats.org/officeDocument/2006/relationships" r:id="rId2"/>
          <a:extLst>
            <a:ext uri="{FF2B5EF4-FFF2-40B4-BE49-F238E27FC236}">
              <a16:creationId xmlns:a16="http://schemas.microsoft.com/office/drawing/2014/main" id="{B3B5CB68-B261-1A03-D2FE-CFDB0A328235}"/>
            </a:ext>
          </a:extLst>
        </xdr:cNvPr>
        <xdr:cNvSpPr/>
      </xdr:nvSpPr>
      <xdr:spPr>
        <a:xfrm>
          <a:off x="523875" y="114301"/>
          <a:ext cx="1104900" cy="285750"/>
        </a:xfrm>
        <a:prstGeom prst="round2DiagRect">
          <a:avLst/>
        </a:prstGeom>
        <a:solidFill>
          <a:srgbClr val="F8D4B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tx1"/>
              </a:solidFill>
            </a:rPr>
            <a:t>Back to GHG</a:t>
          </a:r>
        </a:p>
      </xdr:txBody>
    </xdr:sp>
    <xdr:clientData/>
  </xdr:twoCellAnchor>
  <xdr:twoCellAnchor>
    <xdr:from>
      <xdr:col>0</xdr:col>
      <xdr:colOff>828675</xdr:colOff>
      <xdr:row>81</xdr:row>
      <xdr:rowOff>95250</xdr:rowOff>
    </xdr:from>
    <xdr:to>
      <xdr:col>0</xdr:col>
      <xdr:colOff>1495425</xdr:colOff>
      <xdr:row>83</xdr:row>
      <xdr:rowOff>19050</xdr:rowOff>
    </xdr:to>
    <xdr:sp macro="" textlink="">
      <xdr:nvSpPr>
        <xdr:cNvPr id="3" name="Bevel 2">
          <a:hlinkClick xmlns:r="http://schemas.openxmlformats.org/officeDocument/2006/relationships" r:id="rId1"/>
          <a:extLst>
            <a:ext uri="{FF2B5EF4-FFF2-40B4-BE49-F238E27FC236}">
              <a16:creationId xmlns:a16="http://schemas.microsoft.com/office/drawing/2014/main" id="{AF27E7AD-1AE9-4BA9-9282-049F15CCDCE4}"/>
            </a:ext>
            <a:ext uri="{147F2762-F138-4A5C-976F-8EAC2B608ADB}">
              <a16:predDERef xmlns:a16="http://schemas.microsoft.com/office/drawing/2014/main" pred="{B3B5CB68-B261-1A03-D2FE-CFDB0A328235}"/>
            </a:ext>
          </a:extLst>
        </xdr:cNvPr>
        <xdr:cNvSpPr/>
      </xdr:nvSpPr>
      <xdr:spPr>
        <a:xfrm>
          <a:off x="828675" y="16811625"/>
          <a:ext cx="666750" cy="333375"/>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600"/>
            <a:t>Back</a:t>
          </a: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0</xdr:col>
      <xdr:colOff>304800</xdr:colOff>
      <xdr:row>0</xdr:row>
      <xdr:rowOff>161925</xdr:rowOff>
    </xdr:from>
    <xdr:to>
      <xdr:col>0</xdr:col>
      <xdr:colOff>1409700</xdr:colOff>
      <xdr:row>0</xdr:row>
      <xdr:rowOff>447675</xdr:rowOff>
    </xdr:to>
    <xdr:sp macro="" textlink="">
      <xdr:nvSpPr>
        <xdr:cNvPr id="3" name="Rectangle: Diagonal Corners Rounded 2">
          <a:hlinkClick xmlns:r="http://schemas.openxmlformats.org/officeDocument/2006/relationships" r:id="rId1"/>
          <a:extLst>
            <a:ext uri="{FF2B5EF4-FFF2-40B4-BE49-F238E27FC236}">
              <a16:creationId xmlns:a16="http://schemas.microsoft.com/office/drawing/2014/main" id="{5AC0057E-ABB9-4C48-8259-AAB3C7D13307}"/>
            </a:ext>
          </a:extLst>
        </xdr:cNvPr>
        <xdr:cNvSpPr/>
      </xdr:nvSpPr>
      <xdr:spPr>
        <a:xfrm>
          <a:off x="304800" y="161925"/>
          <a:ext cx="1104900" cy="285750"/>
        </a:xfrm>
        <a:prstGeom prst="round2DiagRect">
          <a:avLst/>
        </a:prstGeom>
        <a:solidFill>
          <a:srgbClr val="F8D4B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tx1"/>
              </a:solidFill>
            </a:rPr>
            <a:t>Back to GHG</a:t>
          </a: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695325</xdr:colOff>
      <xdr:row>1</xdr:row>
      <xdr:rowOff>114300</xdr:rowOff>
    </xdr:from>
    <xdr:to>
      <xdr:col>0</xdr:col>
      <xdr:colOff>1362075</xdr:colOff>
      <xdr:row>3</xdr:row>
      <xdr:rowOff>28575</xdr:rowOff>
    </xdr:to>
    <xdr:sp macro="" textlink="">
      <xdr:nvSpPr>
        <xdr:cNvPr id="2" name="Rectangle: Beveled 1">
          <a:hlinkClick xmlns:r="http://schemas.openxmlformats.org/officeDocument/2006/relationships" r:id="rId1"/>
          <a:extLst>
            <a:ext uri="{FF2B5EF4-FFF2-40B4-BE49-F238E27FC236}">
              <a16:creationId xmlns:a16="http://schemas.microsoft.com/office/drawing/2014/main" id="{938335ED-315E-4325-A2ED-F122AB3E411E}"/>
            </a:ext>
          </a:extLst>
        </xdr:cNvPr>
        <xdr:cNvSpPr/>
      </xdr:nvSpPr>
      <xdr:spPr>
        <a:xfrm>
          <a:off x="695325" y="114300"/>
          <a:ext cx="666750" cy="34290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Back</a:t>
          </a:r>
        </a:p>
      </xdr:txBody>
    </xdr:sp>
    <xdr:clientData/>
  </xdr:twoCellAnchor>
  <xdr:twoCellAnchor>
    <xdr:from>
      <xdr:col>0</xdr:col>
      <xdr:colOff>752475</xdr:colOff>
      <xdr:row>112</xdr:row>
      <xdr:rowOff>76200</xdr:rowOff>
    </xdr:from>
    <xdr:to>
      <xdr:col>0</xdr:col>
      <xdr:colOff>1419225</xdr:colOff>
      <xdr:row>113</xdr:row>
      <xdr:rowOff>180975</xdr:rowOff>
    </xdr:to>
    <xdr:sp macro="" textlink="">
      <xdr:nvSpPr>
        <xdr:cNvPr id="3" name="Rectangle: Beveled 2">
          <a:hlinkClick xmlns:r="http://schemas.openxmlformats.org/officeDocument/2006/relationships" r:id="rId1"/>
          <a:extLst>
            <a:ext uri="{FF2B5EF4-FFF2-40B4-BE49-F238E27FC236}">
              <a16:creationId xmlns:a16="http://schemas.microsoft.com/office/drawing/2014/main" id="{60732B58-F94E-46BF-B56E-EC719FCD6017}"/>
            </a:ext>
          </a:extLst>
        </xdr:cNvPr>
        <xdr:cNvSpPr/>
      </xdr:nvSpPr>
      <xdr:spPr>
        <a:xfrm>
          <a:off x="752475" y="26831925"/>
          <a:ext cx="666750" cy="34290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Back</a:t>
          </a:r>
        </a:p>
      </xdr:txBody>
    </xdr:sp>
    <xdr:clientData/>
  </xdr:twoCellAnchor>
  <xdr:twoCellAnchor>
    <xdr:from>
      <xdr:col>0</xdr:col>
      <xdr:colOff>428625</xdr:colOff>
      <xdr:row>0</xdr:row>
      <xdr:rowOff>161925</xdr:rowOff>
    </xdr:from>
    <xdr:to>
      <xdr:col>0</xdr:col>
      <xdr:colOff>1533525</xdr:colOff>
      <xdr:row>0</xdr:row>
      <xdr:rowOff>447675</xdr:rowOff>
    </xdr:to>
    <xdr:sp macro="" textlink="">
      <xdr:nvSpPr>
        <xdr:cNvPr id="4" name="Rectangle: Diagonal Corners Rounded 3">
          <a:hlinkClick xmlns:r="http://schemas.openxmlformats.org/officeDocument/2006/relationships" r:id="rId2"/>
          <a:extLst>
            <a:ext uri="{FF2B5EF4-FFF2-40B4-BE49-F238E27FC236}">
              <a16:creationId xmlns:a16="http://schemas.microsoft.com/office/drawing/2014/main" id="{54AC896C-B64A-4604-ABF6-80FDEFBEA799}"/>
            </a:ext>
          </a:extLst>
        </xdr:cNvPr>
        <xdr:cNvSpPr/>
      </xdr:nvSpPr>
      <xdr:spPr>
        <a:xfrm>
          <a:off x="428625" y="161925"/>
          <a:ext cx="1104900" cy="285750"/>
        </a:xfrm>
        <a:prstGeom prst="round2DiagRect">
          <a:avLst/>
        </a:prstGeom>
        <a:solidFill>
          <a:srgbClr val="F8D4B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tx1"/>
              </a:solidFill>
            </a:rPr>
            <a:t>Back to GHG</a:t>
          </a: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161925</xdr:colOff>
      <xdr:row>0</xdr:row>
      <xdr:rowOff>161925</xdr:rowOff>
    </xdr:from>
    <xdr:to>
      <xdr:col>0</xdr:col>
      <xdr:colOff>1266825</xdr:colOff>
      <xdr:row>0</xdr:row>
      <xdr:rowOff>447675</xdr:rowOff>
    </xdr:to>
    <xdr:sp macro="" textlink="">
      <xdr:nvSpPr>
        <xdr:cNvPr id="2" name="Rectangle: Diagonal Corners Rounded 1">
          <a:hlinkClick xmlns:r="http://schemas.openxmlformats.org/officeDocument/2006/relationships" r:id="rId1"/>
          <a:extLst>
            <a:ext uri="{FF2B5EF4-FFF2-40B4-BE49-F238E27FC236}">
              <a16:creationId xmlns:a16="http://schemas.microsoft.com/office/drawing/2014/main" id="{8C646DCC-63F4-481B-86AE-BBA88664FCF7}"/>
            </a:ext>
          </a:extLst>
        </xdr:cNvPr>
        <xdr:cNvSpPr/>
      </xdr:nvSpPr>
      <xdr:spPr>
        <a:xfrm>
          <a:off x="161925" y="161925"/>
          <a:ext cx="1104900" cy="285750"/>
        </a:xfrm>
        <a:prstGeom prst="round2DiagRect">
          <a:avLst/>
        </a:prstGeom>
        <a:solidFill>
          <a:srgbClr val="F8D4B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tx1"/>
              </a:solidFill>
            </a:rPr>
            <a:t>Back to GHG</a:t>
          </a: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0</xdr:col>
      <xdr:colOff>333375</xdr:colOff>
      <xdr:row>0</xdr:row>
      <xdr:rowOff>171450</xdr:rowOff>
    </xdr:from>
    <xdr:to>
      <xdr:col>0</xdr:col>
      <xdr:colOff>1438275</xdr:colOff>
      <xdr:row>0</xdr:row>
      <xdr:rowOff>457200</xdr:rowOff>
    </xdr:to>
    <xdr:sp macro="" textlink="">
      <xdr:nvSpPr>
        <xdr:cNvPr id="2" name="Rectangle: Diagonal Corners Rounded 1">
          <a:hlinkClick xmlns:r="http://schemas.openxmlformats.org/officeDocument/2006/relationships" r:id="rId1"/>
          <a:extLst>
            <a:ext uri="{FF2B5EF4-FFF2-40B4-BE49-F238E27FC236}">
              <a16:creationId xmlns:a16="http://schemas.microsoft.com/office/drawing/2014/main" id="{A349FD15-74AD-49BC-A416-672C15DF03DE}"/>
            </a:ext>
          </a:extLst>
        </xdr:cNvPr>
        <xdr:cNvSpPr/>
      </xdr:nvSpPr>
      <xdr:spPr>
        <a:xfrm>
          <a:off x="333375" y="171450"/>
          <a:ext cx="1104900" cy="285750"/>
        </a:xfrm>
        <a:prstGeom prst="round2DiagRect">
          <a:avLst/>
        </a:prstGeom>
        <a:solidFill>
          <a:srgbClr val="F8D4B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tx1"/>
              </a:solidFill>
            </a:rPr>
            <a:t>Back to GHG</a:t>
          </a: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0</xdr:col>
      <xdr:colOff>342900</xdr:colOff>
      <xdr:row>3</xdr:row>
      <xdr:rowOff>114300</xdr:rowOff>
    </xdr:from>
    <xdr:to>
      <xdr:col>0</xdr:col>
      <xdr:colOff>1009650</xdr:colOff>
      <xdr:row>5</xdr:row>
      <xdr:rowOff>76200</xdr:rowOff>
    </xdr:to>
    <xdr:sp macro="" textlink="">
      <xdr:nvSpPr>
        <xdr:cNvPr id="2" name="Rectangle: Beveled 1">
          <a:hlinkClick xmlns:r="http://schemas.openxmlformats.org/officeDocument/2006/relationships" r:id="rId1"/>
          <a:extLst>
            <a:ext uri="{FF2B5EF4-FFF2-40B4-BE49-F238E27FC236}">
              <a16:creationId xmlns:a16="http://schemas.microsoft.com/office/drawing/2014/main" id="{4F0A35DC-7AB7-4146-A85A-1ADFD526E2DB}"/>
            </a:ext>
          </a:extLst>
        </xdr:cNvPr>
        <xdr:cNvSpPr/>
      </xdr:nvSpPr>
      <xdr:spPr>
        <a:xfrm>
          <a:off x="342900" y="876300"/>
          <a:ext cx="666750" cy="34290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Back</a:t>
          </a: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25</xdr:col>
      <xdr:colOff>676275</xdr:colOff>
      <xdr:row>3</xdr:row>
      <xdr:rowOff>57150</xdr:rowOff>
    </xdr:from>
    <xdr:to>
      <xdr:col>25</xdr:col>
      <xdr:colOff>1343025</xdr:colOff>
      <xdr:row>5</xdr:row>
      <xdr:rowOff>19050</xdr:rowOff>
    </xdr:to>
    <xdr:sp macro="" textlink="">
      <xdr:nvSpPr>
        <xdr:cNvPr id="2" name="Rectangle: Beveled 1">
          <a:hlinkClick xmlns:r="http://schemas.openxmlformats.org/officeDocument/2006/relationships" r:id="rId1"/>
          <a:extLst>
            <a:ext uri="{FF2B5EF4-FFF2-40B4-BE49-F238E27FC236}">
              <a16:creationId xmlns:a16="http://schemas.microsoft.com/office/drawing/2014/main" id="{F48E713B-F5C8-4CC9-B563-FC1E887E8A3F}"/>
            </a:ext>
          </a:extLst>
        </xdr:cNvPr>
        <xdr:cNvSpPr/>
      </xdr:nvSpPr>
      <xdr:spPr>
        <a:xfrm>
          <a:off x="23288625" y="628650"/>
          <a:ext cx="666750" cy="34290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Back</a:t>
          </a: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0</xdr:col>
      <xdr:colOff>342900</xdr:colOff>
      <xdr:row>0</xdr:row>
      <xdr:rowOff>104775</xdr:rowOff>
    </xdr:from>
    <xdr:to>
      <xdr:col>0</xdr:col>
      <xdr:colOff>1009650</xdr:colOff>
      <xdr:row>2</xdr:row>
      <xdr:rowOff>9525</xdr:rowOff>
    </xdr:to>
    <xdr:sp macro="" textlink="">
      <xdr:nvSpPr>
        <xdr:cNvPr id="2" name="Rectangle: Beveled 1">
          <a:hlinkClick xmlns:r="http://schemas.openxmlformats.org/officeDocument/2006/relationships" r:id="rId1"/>
          <a:extLst>
            <a:ext uri="{FF2B5EF4-FFF2-40B4-BE49-F238E27FC236}">
              <a16:creationId xmlns:a16="http://schemas.microsoft.com/office/drawing/2014/main" id="{1DA20244-7F4C-467D-9704-DEB7F44BEBCC}"/>
            </a:ext>
          </a:extLst>
        </xdr:cNvPr>
        <xdr:cNvSpPr/>
      </xdr:nvSpPr>
      <xdr:spPr>
        <a:xfrm>
          <a:off x="342900" y="104775"/>
          <a:ext cx="666750" cy="34290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Back</a:t>
          </a: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0</xdr:col>
      <xdr:colOff>495300</xdr:colOff>
      <xdr:row>78</xdr:row>
      <xdr:rowOff>104775</xdr:rowOff>
    </xdr:from>
    <xdr:to>
      <xdr:col>0</xdr:col>
      <xdr:colOff>1162050</xdr:colOff>
      <xdr:row>80</xdr:row>
      <xdr:rowOff>66675</xdr:rowOff>
    </xdr:to>
    <xdr:sp macro="" textlink="">
      <xdr:nvSpPr>
        <xdr:cNvPr id="2" name="Rectangle: Beveled 1">
          <a:hlinkClick xmlns:r="http://schemas.openxmlformats.org/officeDocument/2006/relationships" r:id="rId1"/>
          <a:extLst>
            <a:ext uri="{FF2B5EF4-FFF2-40B4-BE49-F238E27FC236}">
              <a16:creationId xmlns:a16="http://schemas.microsoft.com/office/drawing/2014/main" id="{C4AFE853-F02A-4FA0-B695-344E598E993E}"/>
            </a:ext>
          </a:extLst>
        </xdr:cNvPr>
        <xdr:cNvSpPr/>
      </xdr:nvSpPr>
      <xdr:spPr>
        <a:xfrm>
          <a:off x="495300" y="5924550"/>
          <a:ext cx="666750" cy="34290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Back</a:t>
          </a:r>
        </a:p>
      </xdr:txBody>
    </xdr:sp>
    <xdr:clientData/>
  </xdr:twoCellAnchor>
  <xdr:twoCellAnchor>
    <xdr:from>
      <xdr:col>0</xdr:col>
      <xdr:colOff>847725</xdr:colOff>
      <xdr:row>0</xdr:row>
      <xdr:rowOff>66675</xdr:rowOff>
    </xdr:from>
    <xdr:to>
      <xdr:col>0</xdr:col>
      <xdr:colOff>1514475</xdr:colOff>
      <xdr:row>1</xdr:row>
      <xdr:rowOff>171450</xdr:rowOff>
    </xdr:to>
    <xdr:sp macro="" textlink="">
      <xdr:nvSpPr>
        <xdr:cNvPr id="3" name="Rectangle: Beveled 2">
          <a:hlinkClick xmlns:r="http://schemas.openxmlformats.org/officeDocument/2006/relationships" r:id="rId1"/>
          <a:extLst>
            <a:ext uri="{FF2B5EF4-FFF2-40B4-BE49-F238E27FC236}">
              <a16:creationId xmlns:a16="http://schemas.microsoft.com/office/drawing/2014/main" id="{1245A118-7790-406B-ACE9-659B94BEE118}"/>
            </a:ext>
          </a:extLst>
        </xdr:cNvPr>
        <xdr:cNvSpPr/>
      </xdr:nvSpPr>
      <xdr:spPr>
        <a:xfrm>
          <a:off x="847725" y="66675"/>
          <a:ext cx="666750" cy="34290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Back</a:t>
          </a: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0</xdr:col>
      <xdr:colOff>457200</xdr:colOff>
      <xdr:row>0</xdr:row>
      <xdr:rowOff>114300</xdr:rowOff>
    </xdr:from>
    <xdr:to>
      <xdr:col>0</xdr:col>
      <xdr:colOff>1123950</xdr:colOff>
      <xdr:row>2</xdr:row>
      <xdr:rowOff>28575</xdr:rowOff>
    </xdr:to>
    <xdr:sp macro="" textlink="">
      <xdr:nvSpPr>
        <xdr:cNvPr id="2" name="Rectangle: Beveled 1">
          <a:hlinkClick xmlns:r="http://schemas.openxmlformats.org/officeDocument/2006/relationships" r:id="rId1"/>
          <a:extLst>
            <a:ext uri="{FF2B5EF4-FFF2-40B4-BE49-F238E27FC236}">
              <a16:creationId xmlns:a16="http://schemas.microsoft.com/office/drawing/2014/main" id="{41E53518-C20E-4874-98DC-39A1E54219FA}"/>
            </a:ext>
          </a:extLst>
        </xdr:cNvPr>
        <xdr:cNvSpPr/>
      </xdr:nvSpPr>
      <xdr:spPr>
        <a:xfrm>
          <a:off x="457200" y="114300"/>
          <a:ext cx="666750" cy="34290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Back</a:t>
          </a: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0</xdr:col>
      <xdr:colOff>581025</xdr:colOff>
      <xdr:row>0</xdr:row>
      <xdr:rowOff>76200</xdr:rowOff>
    </xdr:from>
    <xdr:to>
      <xdr:col>0</xdr:col>
      <xdr:colOff>1247775</xdr:colOff>
      <xdr:row>2</xdr:row>
      <xdr:rowOff>28575</xdr:rowOff>
    </xdr:to>
    <xdr:sp macro="" textlink="">
      <xdr:nvSpPr>
        <xdr:cNvPr id="2" name="Rectangle: Beveled 1">
          <a:hlinkClick xmlns:r="http://schemas.openxmlformats.org/officeDocument/2006/relationships" r:id="rId1"/>
          <a:extLst>
            <a:ext uri="{FF2B5EF4-FFF2-40B4-BE49-F238E27FC236}">
              <a16:creationId xmlns:a16="http://schemas.microsoft.com/office/drawing/2014/main" id="{5DB33495-496A-41F8-85DE-C7D93E60724A}"/>
            </a:ext>
          </a:extLst>
        </xdr:cNvPr>
        <xdr:cNvSpPr/>
      </xdr:nvSpPr>
      <xdr:spPr>
        <a:xfrm>
          <a:off x="581025" y="76200"/>
          <a:ext cx="666750" cy="34290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Back</a:t>
          </a: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0</xdr:col>
      <xdr:colOff>514350</xdr:colOff>
      <xdr:row>0</xdr:row>
      <xdr:rowOff>19050</xdr:rowOff>
    </xdr:from>
    <xdr:to>
      <xdr:col>0</xdr:col>
      <xdr:colOff>1181100</xdr:colOff>
      <xdr:row>1</xdr:row>
      <xdr:rowOff>171450</xdr:rowOff>
    </xdr:to>
    <xdr:sp macro="" textlink="">
      <xdr:nvSpPr>
        <xdr:cNvPr id="2" name="Rectangle: Beveled 1">
          <a:hlinkClick xmlns:r="http://schemas.openxmlformats.org/officeDocument/2006/relationships" r:id="rId1"/>
          <a:extLst>
            <a:ext uri="{FF2B5EF4-FFF2-40B4-BE49-F238E27FC236}">
              <a16:creationId xmlns:a16="http://schemas.microsoft.com/office/drawing/2014/main" id="{9EC21566-4D08-4BA9-A428-CEDFB1C14768}"/>
            </a:ext>
          </a:extLst>
        </xdr:cNvPr>
        <xdr:cNvSpPr/>
      </xdr:nvSpPr>
      <xdr:spPr>
        <a:xfrm>
          <a:off x="514350" y="19050"/>
          <a:ext cx="666750" cy="34290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Back</a:t>
          </a:r>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0</xdr:col>
      <xdr:colOff>323850</xdr:colOff>
      <xdr:row>0</xdr:row>
      <xdr:rowOff>85725</xdr:rowOff>
    </xdr:from>
    <xdr:to>
      <xdr:col>0</xdr:col>
      <xdr:colOff>990600</xdr:colOff>
      <xdr:row>2</xdr:row>
      <xdr:rowOff>0</xdr:rowOff>
    </xdr:to>
    <xdr:sp macro="" textlink="">
      <xdr:nvSpPr>
        <xdr:cNvPr id="2" name="Rectangle: Beveled 1">
          <a:hlinkClick xmlns:r="http://schemas.openxmlformats.org/officeDocument/2006/relationships" r:id="rId1"/>
          <a:extLst>
            <a:ext uri="{FF2B5EF4-FFF2-40B4-BE49-F238E27FC236}">
              <a16:creationId xmlns:a16="http://schemas.microsoft.com/office/drawing/2014/main" id="{6566AEED-61E4-4AB5-871E-7E96FC4B12B6}"/>
            </a:ext>
          </a:extLst>
        </xdr:cNvPr>
        <xdr:cNvSpPr/>
      </xdr:nvSpPr>
      <xdr:spPr>
        <a:xfrm>
          <a:off x="323850" y="85725"/>
          <a:ext cx="666750" cy="34290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Back</a:t>
          </a: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0</xdr:col>
      <xdr:colOff>514350</xdr:colOff>
      <xdr:row>0</xdr:row>
      <xdr:rowOff>180975</xdr:rowOff>
    </xdr:from>
    <xdr:to>
      <xdr:col>0</xdr:col>
      <xdr:colOff>1181100</xdr:colOff>
      <xdr:row>2</xdr:row>
      <xdr:rowOff>123825</xdr:rowOff>
    </xdr:to>
    <xdr:sp macro="" textlink="">
      <xdr:nvSpPr>
        <xdr:cNvPr id="2" name="Rectangle: Beveled 1">
          <a:hlinkClick xmlns:r="http://schemas.openxmlformats.org/officeDocument/2006/relationships" r:id="rId1"/>
          <a:extLst>
            <a:ext uri="{FF2B5EF4-FFF2-40B4-BE49-F238E27FC236}">
              <a16:creationId xmlns:a16="http://schemas.microsoft.com/office/drawing/2014/main" id="{577980A9-48DD-483A-B850-ADB77F307503}"/>
            </a:ext>
          </a:extLst>
        </xdr:cNvPr>
        <xdr:cNvSpPr/>
      </xdr:nvSpPr>
      <xdr:spPr>
        <a:xfrm>
          <a:off x="514350" y="180975"/>
          <a:ext cx="666750" cy="34290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Back</a:t>
          </a:r>
        </a:p>
      </xdr:txBody>
    </xdr:sp>
    <xdr:clientData/>
  </xdr:twoCellAnchor>
  <xdr:twoCellAnchor>
    <xdr:from>
      <xdr:col>0</xdr:col>
      <xdr:colOff>590550</xdr:colOff>
      <xdr:row>26</xdr:row>
      <xdr:rowOff>76200</xdr:rowOff>
    </xdr:from>
    <xdr:to>
      <xdr:col>0</xdr:col>
      <xdr:colOff>1257300</xdr:colOff>
      <xdr:row>28</xdr:row>
      <xdr:rowOff>28575</xdr:rowOff>
    </xdr:to>
    <xdr:sp macro="" textlink="">
      <xdr:nvSpPr>
        <xdr:cNvPr id="3" name="Rectangle: Beveled 2">
          <a:hlinkClick xmlns:r="http://schemas.openxmlformats.org/officeDocument/2006/relationships" r:id="rId1"/>
          <a:extLst>
            <a:ext uri="{FF2B5EF4-FFF2-40B4-BE49-F238E27FC236}">
              <a16:creationId xmlns:a16="http://schemas.microsoft.com/office/drawing/2014/main" id="{07064FF4-6ED1-42C7-802C-254660EF484F}"/>
            </a:ext>
          </a:extLst>
        </xdr:cNvPr>
        <xdr:cNvSpPr/>
      </xdr:nvSpPr>
      <xdr:spPr>
        <a:xfrm>
          <a:off x="590550" y="5067300"/>
          <a:ext cx="666750" cy="34290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Back</a:t>
          </a:r>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0</xdr:col>
      <xdr:colOff>428625</xdr:colOff>
      <xdr:row>4</xdr:row>
      <xdr:rowOff>190500</xdr:rowOff>
    </xdr:from>
    <xdr:to>
      <xdr:col>0</xdr:col>
      <xdr:colOff>1095375</xdr:colOff>
      <xdr:row>6</xdr:row>
      <xdr:rowOff>123825</xdr:rowOff>
    </xdr:to>
    <xdr:sp macro="" textlink="">
      <xdr:nvSpPr>
        <xdr:cNvPr id="2" name="Rectangle: Beveled 1">
          <a:hlinkClick xmlns:r="http://schemas.openxmlformats.org/officeDocument/2006/relationships" r:id="rId1"/>
          <a:extLst>
            <a:ext uri="{FF2B5EF4-FFF2-40B4-BE49-F238E27FC236}">
              <a16:creationId xmlns:a16="http://schemas.microsoft.com/office/drawing/2014/main" id="{DAC65F86-89AC-4917-9C90-08BFD320EF8E}"/>
            </a:ext>
          </a:extLst>
        </xdr:cNvPr>
        <xdr:cNvSpPr/>
      </xdr:nvSpPr>
      <xdr:spPr>
        <a:xfrm>
          <a:off x="428625" y="1028700"/>
          <a:ext cx="666750" cy="34290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Back</a:t>
          </a:r>
        </a:p>
      </xdr:txBody>
    </xdr:sp>
    <xdr:clientData/>
  </xdr:twoCellAnchor>
  <xdr:twoCellAnchor>
    <xdr:from>
      <xdr:col>0</xdr:col>
      <xdr:colOff>390525</xdr:colOff>
      <xdr:row>48</xdr:row>
      <xdr:rowOff>38100</xdr:rowOff>
    </xdr:from>
    <xdr:to>
      <xdr:col>0</xdr:col>
      <xdr:colOff>1057275</xdr:colOff>
      <xdr:row>49</xdr:row>
      <xdr:rowOff>180975</xdr:rowOff>
    </xdr:to>
    <xdr:sp macro="" textlink="">
      <xdr:nvSpPr>
        <xdr:cNvPr id="3" name="Rectangle: Beveled 2">
          <a:hlinkClick xmlns:r="http://schemas.openxmlformats.org/officeDocument/2006/relationships" r:id="rId1"/>
          <a:extLst>
            <a:ext uri="{FF2B5EF4-FFF2-40B4-BE49-F238E27FC236}">
              <a16:creationId xmlns:a16="http://schemas.microsoft.com/office/drawing/2014/main" id="{79FAFBD8-B457-4B06-B109-AF7119765443}"/>
            </a:ext>
          </a:extLst>
        </xdr:cNvPr>
        <xdr:cNvSpPr/>
      </xdr:nvSpPr>
      <xdr:spPr>
        <a:xfrm>
          <a:off x="390525" y="9525000"/>
          <a:ext cx="666750" cy="34290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Back</a:t>
          </a:r>
        </a:p>
      </xdr:txBody>
    </xdr:sp>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514350</xdr:colOff>
      <xdr:row>0</xdr:row>
      <xdr:rowOff>9525</xdr:rowOff>
    </xdr:from>
    <xdr:to>
      <xdr:col>0</xdr:col>
      <xdr:colOff>2262468</xdr:colOff>
      <xdr:row>4</xdr:row>
      <xdr:rowOff>154641</xdr:rowOff>
    </xdr:to>
    <xdr:pic>
      <xdr:nvPicPr>
        <xdr:cNvPr id="2" name="Picture 1">
          <a:hlinkClick xmlns:r="http://schemas.openxmlformats.org/officeDocument/2006/relationships" r:id="rId1"/>
          <a:extLst>
            <a:ext uri="{FF2B5EF4-FFF2-40B4-BE49-F238E27FC236}">
              <a16:creationId xmlns:a16="http://schemas.microsoft.com/office/drawing/2014/main" id="{7AE76982-BB8F-422B-8D6E-697FC142C91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4350" y="9525"/>
          <a:ext cx="1748118" cy="983316"/>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xdr:from>
      <xdr:col>0</xdr:col>
      <xdr:colOff>323850</xdr:colOff>
      <xdr:row>0</xdr:row>
      <xdr:rowOff>152400</xdr:rowOff>
    </xdr:from>
    <xdr:to>
      <xdr:col>0</xdr:col>
      <xdr:colOff>990600</xdr:colOff>
      <xdr:row>2</xdr:row>
      <xdr:rowOff>57150</xdr:rowOff>
    </xdr:to>
    <xdr:sp macro="" textlink="">
      <xdr:nvSpPr>
        <xdr:cNvPr id="2" name="Rectangle: Beveled 1">
          <a:hlinkClick xmlns:r="http://schemas.openxmlformats.org/officeDocument/2006/relationships" r:id="rId1"/>
          <a:extLst>
            <a:ext uri="{FF2B5EF4-FFF2-40B4-BE49-F238E27FC236}">
              <a16:creationId xmlns:a16="http://schemas.microsoft.com/office/drawing/2014/main" id="{031B450C-6630-48E6-9ED3-28353E1C8091}"/>
            </a:ext>
          </a:extLst>
        </xdr:cNvPr>
        <xdr:cNvSpPr/>
      </xdr:nvSpPr>
      <xdr:spPr>
        <a:xfrm>
          <a:off x="323850" y="152400"/>
          <a:ext cx="666750" cy="34290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Back</a:t>
          </a:r>
        </a:p>
      </xdr:txBody>
    </xdr:sp>
    <xdr:clientData/>
  </xdr:twoCellAnchor>
  <xdr:twoCellAnchor>
    <xdr:from>
      <xdr:col>0</xdr:col>
      <xdr:colOff>304800</xdr:colOff>
      <xdr:row>18</xdr:row>
      <xdr:rowOff>66675</xdr:rowOff>
    </xdr:from>
    <xdr:to>
      <xdr:col>0</xdr:col>
      <xdr:colOff>971550</xdr:colOff>
      <xdr:row>19</xdr:row>
      <xdr:rowOff>133350</xdr:rowOff>
    </xdr:to>
    <xdr:sp macro="" textlink="">
      <xdr:nvSpPr>
        <xdr:cNvPr id="3" name="Rectangle: Beveled 2">
          <a:hlinkClick xmlns:r="http://schemas.openxmlformats.org/officeDocument/2006/relationships" r:id="rId1"/>
          <a:extLst>
            <a:ext uri="{FF2B5EF4-FFF2-40B4-BE49-F238E27FC236}">
              <a16:creationId xmlns:a16="http://schemas.microsoft.com/office/drawing/2014/main" id="{80844761-5F58-480B-AEAB-8055090DF613}"/>
            </a:ext>
          </a:extLst>
        </xdr:cNvPr>
        <xdr:cNvSpPr/>
      </xdr:nvSpPr>
      <xdr:spPr>
        <a:xfrm>
          <a:off x="304800" y="4019550"/>
          <a:ext cx="666750" cy="34290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Back</a:t>
          </a:r>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0</xdr:col>
      <xdr:colOff>247650</xdr:colOff>
      <xdr:row>0</xdr:row>
      <xdr:rowOff>142875</xdr:rowOff>
    </xdr:from>
    <xdr:to>
      <xdr:col>0</xdr:col>
      <xdr:colOff>914400</xdr:colOff>
      <xdr:row>2</xdr:row>
      <xdr:rowOff>104775</xdr:rowOff>
    </xdr:to>
    <xdr:sp macro="" textlink="">
      <xdr:nvSpPr>
        <xdr:cNvPr id="2" name="Rectangle: Beveled 1">
          <a:hlinkClick xmlns:r="http://schemas.openxmlformats.org/officeDocument/2006/relationships" r:id="rId1"/>
          <a:extLst>
            <a:ext uri="{FF2B5EF4-FFF2-40B4-BE49-F238E27FC236}">
              <a16:creationId xmlns:a16="http://schemas.microsoft.com/office/drawing/2014/main" id="{415F9C7C-1355-45EB-B1EE-D92A388D5846}"/>
            </a:ext>
          </a:extLst>
        </xdr:cNvPr>
        <xdr:cNvSpPr/>
      </xdr:nvSpPr>
      <xdr:spPr>
        <a:xfrm>
          <a:off x="247650" y="142875"/>
          <a:ext cx="666750" cy="34290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Back</a:t>
          </a: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0</xdr:col>
      <xdr:colOff>676275</xdr:colOff>
      <xdr:row>0</xdr:row>
      <xdr:rowOff>85725</xdr:rowOff>
    </xdr:from>
    <xdr:to>
      <xdr:col>0</xdr:col>
      <xdr:colOff>1343025</xdr:colOff>
      <xdr:row>2</xdr:row>
      <xdr:rowOff>47625</xdr:rowOff>
    </xdr:to>
    <xdr:sp macro="" textlink="">
      <xdr:nvSpPr>
        <xdr:cNvPr id="2" name="Rectangle: Beveled 1">
          <a:hlinkClick xmlns:r="http://schemas.openxmlformats.org/officeDocument/2006/relationships" r:id="rId1"/>
          <a:extLst>
            <a:ext uri="{FF2B5EF4-FFF2-40B4-BE49-F238E27FC236}">
              <a16:creationId xmlns:a16="http://schemas.microsoft.com/office/drawing/2014/main" id="{B2901D7E-5EBD-4E79-95EB-B23277E943B7}"/>
            </a:ext>
          </a:extLst>
        </xdr:cNvPr>
        <xdr:cNvSpPr/>
      </xdr:nvSpPr>
      <xdr:spPr>
        <a:xfrm>
          <a:off x="676275" y="85725"/>
          <a:ext cx="666750" cy="34290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Back</a:t>
          </a:r>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0</xdr:col>
      <xdr:colOff>381000</xdr:colOff>
      <xdr:row>0</xdr:row>
      <xdr:rowOff>104775</xdr:rowOff>
    </xdr:from>
    <xdr:to>
      <xdr:col>0</xdr:col>
      <xdr:colOff>1047750</xdr:colOff>
      <xdr:row>2</xdr:row>
      <xdr:rowOff>9525</xdr:rowOff>
    </xdr:to>
    <xdr:sp macro="" textlink="">
      <xdr:nvSpPr>
        <xdr:cNvPr id="2" name="Rectangle: Beveled 1">
          <a:hlinkClick xmlns:r="http://schemas.openxmlformats.org/officeDocument/2006/relationships" r:id="rId1"/>
          <a:extLst>
            <a:ext uri="{FF2B5EF4-FFF2-40B4-BE49-F238E27FC236}">
              <a16:creationId xmlns:a16="http://schemas.microsoft.com/office/drawing/2014/main" id="{A9DD8733-7F9A-4469-9E02-8471D5259F61}"/>
            </a:ext>
          </a:extLst>
        </xdr:cNvPr>
        <xdr:cNvSpPr/>
      </xdr:nvSpPr>
      <xdr:spPr>
        <a:xfrm>
          <a:off x="381000" y="104775"/>
          <a:ext cx="666750" cy="34290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Back</a:t>
          </a:r>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0</xdr:col>
      <xdr:colOff>104776</xdr:colOff>
      <xdr:row>0</xdr:row>
      <xdr:rowOff>114301</xdr:rowOff>
    </xdr:from>
    <xdr:to>
      <xdr:col>0</xdr:col>
      <xdr:colOff>771526</xdr:colOff>
      <xdr:row>2</xdr:row>
      <xdr:rowOff>66676</xdr:rowOff>
    </xdr:to>
    <xdr:sp macro="" textlink="">
      <xdr:nvSpPr>
        <xdr:cNvPr id="3" name="Rectangle: Beveled 2">
          <a:hlinkClick xmlns:r="http://schemas.openxmlformats.org/officeDocument/2006/relationships" r:id="rId1"/>
          <a:extLst>
            <a:ext uri="{FF2B5EF4-FFF2-40B4-BE49-F238E27FC236}">
              <a16:creationId xmlns:a16="http://schemas.microsoft.com/office/drawing/2014/main" id="{50A5E77E-9E96-B45E-96CF-238F35EB7078}"/>
            </a:ext>
          </a:extLst>
        </xdr:cNvPr>
        <xdr:cNvSpPr/>
      </xdr:nvSpPr>
      <xdr:spPr>
        <a:xfrm>
          <a:off x="104776" y="114301"/>
          <a:ext cx="666750" cy="34290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Back</a:t>
          </a:r>
        </a:p>
      </xdr:txBody>
    </xdr:sp>
    <xdr:clientData/>
  </xdr:twoCellAnchor>
  <xdr:twoCellAnchor>
    <xdr:from>
      <xdr:col>0</xdr:col>
      <xdr:colOff>104775</xdr:colOff>
      <xdr:row>67</xdr:row>
      <xdr:rowOff>57150</xdr:rowOff>
    </xdr:from>
    <xdr:to>
      <xdr:col>0</xdr:col>
      <xdr:colOff>771525</xdr:colOff>
      <xdr:row>69</xdr:row>
      <xdr:rowOff>9525</xdr:rowOff>
    </xdr:to>
    <xdr:sp macro="" textlink="">
      <xdr:nvSpPr>
        <xdr:cNvPr id="2" name="Bevel 1">
          <a:hlinkClick xmlns:r="http://schemas.openxmlformats.org/officeDocument/2006/relationships" r:id="rId1"/>
          <a:extLst>
            <a:ext uri="{FF2B5EF4-FFF2-40B4-BE49-F238E27FC236}">
              <a16:creationId xmlns:a16="http://schemas.microsoft.com/office/drawing/2014/main" id="{C739F7C3-6D2F-4A49-8CB2-D62F6DF66F28}"/>
            </a:ext>
            <a:ext uri="{147F2762-F138-4A5C-976F-8EAC2B608ADB}">
              <a16:predDERef xmlns:a16="http://schemas.microsoft.com/office/drawing/2014/main" pred="{50A5E77E-9E96-B45E-96CF-238F35EB7078}"/>
            </a:ext>
          </a:extLst>
        </xdr:cNvPr>
        <xdr:cNvSpPr/>
      </xdr:nvSpPr>
      <xdr:spPr>
        <a:xfrm>
          <a:off x="104775" y="13296900"/>
          <a:ext cx="666750" cy="32385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600"/>
            <a:t>Back</a:t>
          </a:r>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0</xdr:col>
      <xdr:colOff>476250</xdr:colOff>
      <xdr:row>0</xdr:row>
      <xdr:rowOff>161925</xdr:rowOff>
    </xdr:from>
    <xdr:to>
      <xdr:col>0</xdr:col>
      <xdr:colOff>1143000</xdr:colOff>
      <xdr:row>2</xdr:row>
      <xdr:rowOff>9525</xdr:rowOff>
    </xdr:to>
    <xdr:sp macro="" textlink="">
      <xdr:nvSpPr>
        <xdr:cNvPr id="2" name="Rectangle: Beveled 1">
          <a:hlinkClick xmlns:r="http://schemas.openxmlformats.org/officeDocument/2006/relationships" r:id="rId1"/>
          <a:extLst>
            <a:ext uri="{FF2B5EF4-FFF2-40B4-BE49-F238E27FC236}">
              <a16:creationId xmlns:a16="http://schemas.microsoft.com/office/drawing/2014/main" id="{3CAE02B5-F518-4A26-920B-539E2CF3E464}"/>
            </a:ext>
          </a:extLst>
        </xdr:cNvPr>
        <xdr:cNvSpPr/>
      </xdr:nvSpPr>
      <xdr:spPr>
        <a:xfrm>
          <a:off x="476250" y="161925"/>
          <a:ext cx="666750" cy="34290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Back</a:t>
          </a:r>
        </a:p>
      </xdr:txBody>
    </xdr:sp>
    <xdr:clientData/>
  </xdr:twoCellAnchor>
</xdr:wsDr>
</file>

<file path=xl/drawings/drawing42.xml><?xml version="1.0" encoding="utf-8"?>
<xdr:wsDr xmlns:xdr="http://schemas.openxmlformats.org/drawingml/2006/spreadsheetDrawing" xmlns:a="http://schemas.openxmlformats.org/drawingml/2006/main">
  <xdr:twoCellAnchor>
    <xdr:from>
      <xdr:col>0</xdr:col>
      <xdr:colOff>352425</xdr:colOff>
      <xdr:row>0</xdr:row>
      <xdr:rowOff>114300</xdr:rowOff>
    </xdr:from>
    <xdr:to>
      <xdr:col>0</xdr:col>
      <xdr:colOff>1019175</xdr:colOff>
      <xdr:row>1</xdr:row>
      <xdr:rowOff>161925</xdr:rowOff>
    </xdr:to>
    <xdr:sp macro="" textlink="">
      <xdr:nvSpPr>
        <xdr:cNvPr id="2" name="Rectangle: Beveled 1">
          <a:hlinkClick xmlns:r="http://schemas.openxmlformats.org/officeDocument/2006/relationships" r:id="rId1"/>
          <a:extLst>
            <a:ext uri="{FF2B5EF4-FFF2-40B4-BE49-F238E27FC236}">
              <a16:creationId xmlns:a16="http://schemas.microsoft.com/office/drawing/2014/main" id="{89D15BCE-766D-4B28-86DC-9EED1D6B4771}"/>
            </a:ext>
          </a:extLst>
        </xdr:cNvPr>
        <xdr:cNvSpPr/>
      </xdr:nvSpPr>
      <xdr:spPr>
        <a:xfrm>
          <a:off x="352425" y="114300"/>
          <a:ext cx="666750" cy="34290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Back</a:t>
          </a:r>
        </a:p>
      </xdr:txBody>
    </xdr:sp>
    <xdr:clientData/>
  </xdr:twoCellAnchor>
</xdr:wsDr>
</file>

<file path=xl/drawings/drawing43.xml><?xml version="1.0" encoding="utf-8"?>
<xdr:wsDr xmlns:xdr="http://schemas.openxmlformats.org/drawingml/2006/spreadsheetDrawing" xmlns:a="http://schemas.openxmlformats.org/drawingml/2006/main">
  <xdr:twoCellAnchor>
    <xdr:from>
      <xdr:col>0</xdr:col>
      <xdr:colOff>381000</xdr:colOff>
      <xdr:row>0</xdr:row>
      <xdr:rowOff>66675</xdr:rowOff>
    </xdr:from>
    <xdr:to>
      <xdr:col>0</xdr:col>
      <xdr:colOff>1047750</xdr:colOff>
      <xdr:row>1</xdr:row>
      <xdr:rowOff>114300</xdr:rowOff>
    </xdr:to>
    <xdr:sp macro="" textlink="">
      <xdr:nvSpPr>
        <xdr:cNvPr id="2" name="Rectangle: Beveled 1">
          <a:hlinkClick xmlns:r="http://schemas.openxmlformats.org/officeDocument/2006/relationships" r:id="rId1"/>
          <a:extLst>
            <a:ext uri="{FF2B5EF4-FFF2-40B4-BE49-F238E27FC236}">
              <a16:creationId xmlns:a16="http://schemas.microsoft.com/office/drawing/2014/main" id="{535C6EE2-28E2-4C4C-9CE4-DD455AA633FC}"/>
            </a:ext>
          </a:extLst>
        </xdr:cNvPr>
        <xdr:cNvSpPr/>
      </xdr:nvSpPr>
      <xdr:spPr>
        <a:xfrm>
          <a:off x="381000" y="66675"/>
          <a:ext cx="666750" cy="34290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Back</a:t>
          </a:r>
        </a:p>
      </xdr:txBody>
    </xdr:sp>
    <xdr:clientData/>
  </xdr:twoCellAnchor>
</xdr:wsDr>
</file>

<file path=xl/drawings/drawing44.xml><?xml version="1.0" encoding="utf-8"?>
<xdr:wsDr xmlns:xdr="http://schemas.openxmlformats.org/drawingml/2006/spreadsheetDrawing" xmlns:a="http://schemas.openxmlformats.org/drawingml/2006/main">
  <xdr:twoCellAnchor>
    <xdr:from>
      <xdr:col>0</xdr:col>
      <xdr:colOff>342900</xdr:colOff>
      <xdr:row>1</xdr:row>
      <xdr:rowOff>76200</xdr:rowOff>
    </xdr:from>
    <xdr:to>
      <xdr:col>0</xdr:col>
      <xdr:colOff>1009650</xdr:colOff>
      <xdr:row>2</xdr:row>
      <xdr:rowOff>219075</xdr:rowOff>
    </xdr:to>
    <xdr:sp macro="" textlink="">
      <xdr:nvSpPr>
        <xdr:cNvPr id="2" name="Rectangle: Beveled 1">
          <a:hlinkClick xmlns:r="http://schemas.openxmlformats.org/officeDocument/2006/relationships" r:id="rId1"/>
          <a:extLst>
            <a:ext uri="{FF2B5EF4-FFF2-40B4-BE49-F238E27FC236}">
              <a16:creationId xmlns:a16="http://schemas.microsoft.com/office/drawing/2014/main" id="{92997CD3-CB36-452B-8E58-E83C65C948F0}"/>
            </a:ext>
          </a:extLst>
        </xdr:cNvPr>
        <xdr:cNvSpPr/>
      </xdr:nvSpPr>
      <xdr:spPr>
        <a:xfrm>
          <a:off x="342900" y="266700"/>
          <a:ext cx="666750" cy="342900"/>
        </a:xfrm>
        <a:prstGeom prst="bevel">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Back</a:t>
          </a:r>
        </a:p>
      </xdr:txBody>
    </xdr:sp>
    <xdr:clientData/>
  </xdr:twoCellAnchor>
</xdr:wsDr>
</file>

<file path=xl/persons/person.xml><?xml version="1.0" encoding="utf-8"?>
<personList xmlns="http://schemas.microsoft.com/office/spreadsheetml/2018/threadedcomments" xmlns:x="http://schemas.openxmlformats.org/spreadsheetml/2006/main">
  <person displayName="Zahirul Islam" id="{0045C9EB-40C5-42C3-8D4C-32C0AB0EA745}" userId="S::zahirul.islam@midassafety.com::601368a4-af16-4962-a1ee-5334b8c1f263"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9" dT="2024-01-03T10:10:13.55" personId="{0045C9EB-40C5-42C3-8D4C-32C0AB0EA745}" id="{C77B6445-091B-49FB-BFF0-9F79F800802D}">
    <text>Year to go</text>
  </threadedComment>
  <threadedComment ref="H19" dT="2024-01-03T10:12:20.82" personId="{0045C9EB-40C5-42C3-8D4C-32C0AB0EA745}" id="{0DF1A61A-5AB7-4F89-BC6A-3850E1B32071}">
    <text xml:space="preserve">Required Run Rate
</text>
  </threadedComment>
  <threadedComment ref="D46" dT="2024-01-03T10:10:13.55" personId="{0045C9EB-40C5-42C3-8D4C-32C0AB0EA745}" id="{9901F09A-2F29-42EB-B804-5269993568CF}">
    <text>Year to go</text>
  </threadedComment>
  <threadedComment ref="H46" dT="2024-01-03T10:12:20.82" personId="{0045C9EB-40C5-42C3-8D4C-32C0AB0EA745}" id="{AE05811E-B552-4980-9EB2-E19465EE3942}">
    <text xml:space="preserve">Required Run Rate
</text>
  </threadedComment>
  <threadedComment ref="D73" dT="2024-01-03T10:10:13.55" personId="{0045C9EB-40C5-42C3-8D4C-32C0AB0EA745}" id="{D4D8E3C8-B2A4-4D2D-948B-DB737B72BEDC}">
    <text>Year to go</text>
  </threadedComment>
  <threadedComment ref="H73" dT="2024-01-03T10:12:20.82" personId="{0045C9EB-40C5-42C3-8D4C-32C0AB0EA745}" id="{7D600F02-C97F-4BF8-BA74-1A953CAC70CA}">
    <text xml:space="preserve">Required Run Rate
</text>
  </threadedComment>
  <threadedComment ref="D99" dT="2024-01-03T10:10:13.55" personId="{0045C9EB-40C5-42C3-8D4C-32C0AB0EA745}" id="{11542388-EDA7-41CB-A10C-EBADBBED208A}">
    <text>Year to go</text>
  </threadedComment>
  <threadedComment ref="H99" dT="2024-01-03T10:12:20.82" personId="{0045C9EB-40C5-42C3-8D4C-32C0AB0EA745}" id="{ABBC909D-BDE0-4858-882A-6EEFC7745FB4}">
    <text xml:space="preserve">Required Run Rate
</text>
  </threadedComment>
  <threadedComment ref="D125" dT="2024-01-03T10:10:13.55" personId="{0045C9EB-40C5-42C3-8D4C-32C0AB0EA745}" id="{25221695-B0D6-4D63-8697-C4F652DD686F}">
    <text>Year to go</text>
  </threadedComment>
  <threadedComment ref="H125" dT="2024-01-03T10:12:20.82" personId="{0045C9EB-40C5-42C3-8D4C-32C0AB0EA745}" id="{11F0EE24-AF7F-4B71-90DB-BA38BFE4EF14}">
    <text xml:space="preserve">Required Run Rate
</text>
  </threadedComment>
  <threadedComment ref="D151" dT="2024-01-03T10:10:13.55" personId="{0045C9EB-40C5-42C3-8D4C-32C0AB0EA745}" id="{A05086CF-7123-44EF-8A29-76D89A96ABEF}">
    <text>Year to go</text>
  </threadedComment>
  <threadedComment ref="H151" dT="2024-01-03T10:12:20.82" personId="{0045C9EB-40C5-42C3-8D4C-32C0AB0EA745}" id="{0CC57B45-7BD3-43A0-B79E-B88D48191F9E}">
    <text xml:space="preserve">Required Run Rate
</text>
  </threadedComment>
  <threadedComment ref="D177" dT="2024-01-03T10:10:13.55" personId="{0045C9EB-40C5-42C3-8D4C-32C0AB0EA745}" id="{83718294-4233-4085-89C0-0C8C4C7EB930}">
    <text>Year to go</text>
  </threadedComment>
  <threadedComment ref="H177" dT="2024-01-03T10:12:20.82" personId="{0045C9EB-40C5-42C3-8D4C-32C0AB0EA745}" id="{D5FE7437-DFDC-470B-87FC-532C8B108828}">
    <text xml:space="preserve">Required Run Rate
</text>
  </threadedComment>
  <threadedComment ref="D204" dT="2024-01-03T10:10:13.55" personId="{0045C9EB-40C5-42C3-8D4C-32C0AB0EA745}" id="{63014742-5D60-4C14-A1E3-82442B8CFB24}">
    <text>Year to go</text>
  </threadedComment>
  <threadedComment ref="H204" dT="2024-01-03T10:12:20.82" personId="{0045C9EB-40C5-42C3-8D4C-32C0AB0EA745}" id="{8A9BC47F-8294-42E6-96AF-6AA8EABE3FC3}">
    <text xml:space="preserve">Required Run Rate
</text>
  </threadedComment>
</ThreadedComments>
</file>

<file path=xl/threadedComments/threadedComment2.xml><?xml version="1.0" encoding="utf-8"?>
<ThreadedComments xmlns="http://schemas.microsoft.com/office/spreadsheetml/2018/threadedcomments" xmlns:x="http://schemas.openxmlformats.org/spreadsheetml/2006/main">
  <threadedComment ref="E12" dT="2023-09-14T09:26:35.61" personId="{0045C9EB-40C5-42C3-8D4C-32C0AB0EA745}" id="{3C12F957-3F84-4F63-AD5A-0EC62C730DD7}">
    <text>Total Trips are taken from the actual bill of that month</text>
  </threadedComment>
  <threadedComment ref="D28" dT="2023-09-14T09:32:37.69" personId="{0045C9EB-40C5-42C3-8D4C-32C0AB0EA745}" id="{2FCFB491-D7D6-409F-943F-F1DADCCDBE76}">
    <text>We start taking those data from August.</text>
  </threadedComment>
</ThreadedComment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7">
    <wetp:webextensionref xmlns:r="http://schemas.openxmlformats.org/officeDocument/2006/relationships" r:id="rId1"/>
  </wetp:taskpane>
</wetp:taskpanes>
</file>

<file path=xl/webextensions/webextension1.xml><?xml version="1.0" encoding="utf-8"?>
<we:webextension xmlns:we="http://schemas.microsoft.com/office/webextensions/webextension/2010/11" id="{0F852A63-E365-4814-B1F2-AF27046EEDBD}">
  <we:reference id="wa200001584" version="2.8.1.5" store="en-US" storeType="OMEX"/>
  <we:alternateReferences>
    <we:reference id="wa200001584" version="2.8.1.5" store="WA200001584"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epa.gov/ozone-layer-protection/ozone-depleting-substances" TargetMode="External"/><Relationship Id="rId1" Type="http://schemas.openxmlformats.org/officeDocument/2006/relationships/hyperlink" Target="https://wedocs.unep.org/bitstream/handle/20.500.11822/28245/7790ODPRef_EN.pdf?sequence=1&amp;isAllowed=y" TargetMode="External"/><Relationship Id="rId4"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4.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2.xml"/><Relationship Id="rId1" Type="http://schemas.openxmlformats.org/officeDocument/2006/relationships/printerSettings" Target="../printerSettings/printerSettings16.bin"/><Relationship Id="rId5" Type="http://schemas.microsoft.com/office/2017/10/relationships/threadedComment" Target="../threadedComments/threadedComment2.xml"/><Relationship Id="rId4" Type="http://schemas.openxmlformats.org/officeDocument/2006/relationships/comments" Target="../comments3.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7.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18.bin"/></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19.bin"/></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20.bin"/><Relationship Id="rId1" Type="http://schemas.openxmlformats.org/officeDocument/2006/relationships/hyperlink" Target="https://www.airportdistancecalculator.com/" TargetMode="Externa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21.bin"/></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2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23.bin"/></Relationships>
</file>

<file path=xl/worksheets/_rels/sheet44.xml.rels><?xml version="1.0" encoding="UTF-8" standalone="yes"?>
<Relationships xmlns="http://schemas.openxmlformats.org/package/2006/relationships"><Relationship Id="rId3" Type="http://schemas.openxmlformats.org/officeDocument/2006/relationships/drawing" Target="../drawings/drawing41.xml"/><Relationship Id="rId2" Type="http://schemas.openxmlformats.org/officeDocument/2006/relationships/customProperty" Target="../customProperty1.bin"/><Relationship Id="rId1" Type="http://schemas.openxmlformats.org/officeDocument/2006/relationships/printerSettings" Target="../printerSettings/printerSettings2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customProperty" Target="../customProperty2.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25.bin"/></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6AE95-E397-4215-9D8D-82DC8A89428E}">
  <sheetPr>
    <pageSetUpPr fitToPage="1"/>
  </sheetPr>
  <dimension ref="B1:AE99"/>
  <sheetViews>
    <sheetView showGridLines="0" zoomScale="70" zoomScaleNormal="70" workbookViewId="0">
      <pane xSplit="3" ySplit="7" topLeftCell="L53" activePane="bottomRight" state="frozen"/>
      <selection pane="topRight" activeCell="C3" sqref="C3:C4"/>
      <selection pane="bottomLeft" activeCell="C3" sqref="C3:C4"/>
      <selection pane="bottomRight"/>
    </sheetView>
  </sheetViews>
  <sheetFormatPr defaultColWidth="10.28515625" defaultRowHeight="11.25" outlineLevelCol="1"/>
  <cols>
    <col min="1" max="1" width="1.42578125" style="1730" customWidth="1"/>
    <col min="2" max="2" width="5" style="1747" customWidth="1"/>
    <col min="3" max="3" width="33" style="1747" customWidth="1"/>
    <col min="4" max="4" width="26.42578125" style="1747" customWidth="1"/>
    <col min="5" max="6" width="13.5703125" style="1747" customWidth="1"/>
    <col min="7" max="10" width="17.85546875" style="1747" customWidth="1"/>
    <col min="11" max="12" width="36.42578125" style="1747" customWidth="1"/>
    <col min="13" max="14" width="12" style="1747" customWidth="1"/>
    <col min="15" max="22" width="3.28515625" style="1747" customWidth="1"/>
    <col min="23" max="23" width="20.7109375" style="1747" customWidth="1"/>
    <col min="24" max="24" width="19" style="1747" customWidth="1" outlineLevel="1"/>
    <col min="25" max="25" width="17.7109375" style="1747" customWidth="1" outlineLevel="1"/>
    <col min="26" max="27" width="18.140625" style="1747" customWidth="1"/>
    <col min="28" max="28" width="27.28515625" style="1730" bestFit="1" customWidth="1"/>
    <col min="29" max="16384" width="10.28515625" style="1730"/>
  </cols>
  <sheetData>
    <row r="1" spans="2:31" ht="39.950000000000003" hidden="1" customHeight="1">
      <c r="B1" s="1725"/>
      <c r="C1" s="1726"/>
      <c r="D1" s="1726"/>
      <c r="E1" s="1727"/>
      <c r="F1" s="1727"/>
      <c r="G1" s="1727"/>
      <c r="H1" s="1727"/>
      <c r="I1" s="1727"/>
      <c r="J1" s="1727"/>
      <c r="K1" s="1728" t="s">
        <v>0</v>
      </c>
      <c r="L1" s="1728"/>
      <c r="M1" s="1727"/>
      <c r="N1" s="1727"/>
      <c r="O1" s="1727"/>
      <c r="P1" s="1727"/>
      <c r="Q1" s="1727"/>
      <c r="R1" s="1727"/>
      <c r="S1" s="1727"/>
      <c r="T1" s="1727"/>
      <c r="U1" s="1727"/>
      <c r="V1" s="1726"/>
      <c r="W1" s="1726"/>
      <c r="X1" s="1729"/>
      <c r="Y1" s="1729"/>
      <c r="Z1" s="1730"/>
      <c r="AA1" s="1730"/>
    </row>
    <row r="2" spans="2:31" ht="24.95" customHeight="1" thickBot="1">
      <c r="B2" s="1750"/>
      <c r="C2" s="1750"/>
      <c r="D2" s="1731"/>
      <c r="E2" s="1732"/>
      <c r="F2" s="1733"/>
      <c r="G2" s="1734"/>
      <c r="H2" s="1734"/>
      <c r="I2" s="1732" t="s">
        <v>1</v>
      </c>
      <c r="J2" s="1732"/>
      <c r="K2" s="1733" t="s">
        <v>2</v>
      </c>
      <c r="L2" s="1733"/>
      <c r="M2" s="1733"/>
      <c r="N2" s="1735"/>
      <c r="O2" s="1735"/>
      <c r="P2" s="1735"/>
      <c r="Q2" s="1735"/>
      <c r="R2" s="1735"/>
      <c r="S2" s="1735"/>
      <c r="T2" s="1735"/>
      <c r="U2" s="1735"/>
      <c r="V2" s="1731"/>
      <c r="W2" s="1731"/>
      <c r="X2" s="1736"/>
      <c r="Y2" s="1736"/>
      <c r="Z2" s="1730"/>
      <c r="AA2" s="1730"/>
    </row>
    <row r="3" spans="2:31" ht="24.95" customHeight="1">
      <c r="B3" s="1737"/>
      <c r="C3" s="1737" t="s">
        <v>3</v>
      </c>
      <c r="D3" s="1737"/>
      <c r="E3" s="1738"/>
      <c r="F3" s="1739"/>
      <c r="G3" s="1740"/>
      <c r="H3" s="1740"/>
      <c r="I3" s="1738"/>
      <c r="J3" s="1738"/>
      <c r="K3" s="1739"/>
      <c r="L3" s="1739"/>
      <c r="M3" s="1739"/>
      <c r="N3" s="1740"/>
      <c r="O3" s="1740"/>
      <c r="P3" s="1740"/>
      <c r="Q3" s="1740"/>
      <c r="R3" s="1740"/>
      <c r="S3" s="1740"/>
      <c r="T3" s="1740"/>
      <c r="U3" s="1740"/>
      <c r="V3" s="1737"/>
      <c r="W3" s="1737"/>
      <c r="X3" s="1730"/>
      <c r="Y3" s="1730"/>
      <c r="Z3" s="1730"/>
      <c r="AA3" s="1730"/>
    </row>
    <row r="4" spans="2:31" ht="9.9499999999999993" customHeight="1">
      <c r="B4" s="1730"/>
      <c r="C4" s="1730"/>
      <c r="D4" s="1730"/>
      <c r="E4" s="1741"/>
      <c r="F4" s="1741"/>
      <c r="G4" s="1741"/>
      <c r="H4" s="1741"/>
      <c r="I4" s="1741"/>
      <c r="J4" s="1741"/>
      <c r="K4" s="1741"/>
      <c r="L4" s="1741"/>
      <c r="M4" s="1741"/>
      <c r="N4" s="1741"/>
      <c r="O4" s="1741"/>
      <c r="P4" s="1741"/>
      <c r="Q4" s="1741"/>
      <c r="R4" s="1741"/>
      <c r="S4" s="1741"/>
      <c r="T4" s="1741"/>
      <c r="U4" s="1741"/>
      <c r="V4" s="1730"/>
      <c r="W4" s="1730"/>
      <c r="X4" s="1730"/>
      <c r="Y4" s="1730"/>
      <c r="Z4" s="1730"/>
      <c r="AA4" s="1730"/>
    </row>
    <row r="5" spans="2:31" ht="20.100000000000001" customHeight="1">
      <c r="B5" s="1883" t="s">
        <v>4</v>
      </c>
      <c r="C5" s="1883" t="s">
        <v>5</v>
      </c>
      <c r="D5" s="1874" t="s">
        <v>6</v>
      </c>
      <c r="E5" s="1874" t="s">
        <v>7</v>
      </c>
      <c r="F5" s="1874"/>
      <c r="G5" s="1874" t="s">
        <v>8</v>
      </c>
      <c r="H5" s="1874" t="s">
        <v>9</v>
      </c>
      <c r="I5" s="1874" t="s">
        <v>10</v>
      </c>
      <c r="J5" s="1874" t="s">
        <v>11</v>
      </c>
      <c r="K5" s="1874" t="s">
        <v>12</v>
      </c>
      <c r="L5" s="1881" t="s">
        <v>13</v>
      </c>
      <c r="M5" s="1874" t="s">
        <v>14</v>
      </c>
      <c r="N5" s="1874"/>
      <c r="O5" s="1874" t="s">
        <v>15</v>
      </c>
      <c r="P5" s="1874"/>
      <c r="Q5" s="1874"/>
      <c r="R5" s="1874"/>
      <c r="S5" s="1874"/>
      <c r="T5" s="1874"/>
      <c r="U5" s="1874"/>
      <c r="V5" s="1874"/>
      <c r="W5" s="1874" t="s">
        <v>16</v>
      </c>
      <c r="X5" s="1874" t="s">
        <v>17</v>
      </c>
      <c r="Y5" s="1874"/>
      <c r="Z5" s="1874" t="s">
        <v>18</v>
      </c>
      <c r="AA5" s="1881" t="s">
        <v>19</v>
      </c>
      <c r="AB5" s="1874" t="s">
        <v>20</v>
      </c>
    </row>
    <row r="6" spans="2:31" ht="20.100000000000001" customHeight="1">
      <c r="B6" s="1874"/>
      <c r="C6" s="1874"/>
      <c r="D6" s="1874"/>
      <c r="E6" s="1874"/>
      <c r="F6" s="1874"/>
      <c r="G6" s="1874"/>
      <c r="H6" s="1874"/>
      <c r="I6" s="1874"/>
      <c r="J6" s="1874"/>
      <c r="K6" s="1874"/>
      <c r="L6" s="1883"/>
      <c r="M6" s="1874"/>
      <c r="N6" s="1874"/>
      <c r="O6" s="1874"/>
      <c r="P6" s="1874"/>
      <c r="Q6" s="1874"/>
      <c r="R6" s="1874"/>
      <c r="S6" s="1874"/>
      <c r="T6" s="1874"/>
      <c r="U6" s="1874"/>
      <c r="V6" s="1874"/>
      <c r="W6" s="1874"/>
      <c r="X6" s="1742" t="s">
        <v>21</v>
      </c>
      <c r="Y6" s="1874" t="s">
        <v>22</v>
      </c>
      <c r="Z6" s="1874"/>
      <c r="AA6" s="1882"/>
      <c r="AB6" s="1874"/>
    </row>
    <row r="7" spans="2:31" ht="30" customHeight="1">
      <c r="B7" s="1874"/>
      <c r="C7" s="1874"/>
      <c r="D7" s="1874"/>
      <c r="E7" s="1742" t="s">
        <v>23</v>
      </c>
      <c r="F7" s="1742" t="s">
        <v>24</v>
      </c>
      <c r="G7" s="1874"/>
      <c r="H7" s="1874"/>
      <c r="I7" s="1874"/>
      <c r="J7" s="1874"/>
      <c r="K7" s="1874"/>
      <c r="L7" s="1742"/>
      <c r="M7" s="1742" t="s">
        <v>25</v>
      </c>
      <c r="N7" s="1742" t="s">
        <v>26</v>
      </c>
      <c r="O7" s="1742" t="s">
        <v>27</v>
      </c>
      <c r="P7" s="1742" t="s">
        <v>28</v>
      </c>
      <c r="Q7" s="1742" t="s">
        <v>29</v>
      </c>
      <c r="R7" s="1742" t="s">
        <v>30</v>
      </c>
      <c r="S7" s="1742" t="s">
        <v>31</v>
      </c>
      <c r="T7" s="1742" t="s">
        <v>32</v>
      </c>
      <c r="U7" s="1742" t="s">
        <v>33</v>
      </c>
      <c r="V7" s="1742" t="s">
        <v>34</v>
      </c>
      <c r="W7" s="1874"/>
      <c r="X7" s="1742" t="s">
        <v>35</v>
      </c>
      <c r="Y7" s="1874"/>
      <c r="Z7" s="1874"/>
      <c r="AA7" s="1883"/>
      <c r="AB7" s="1874"/>
    </row>
    <row r="8" spans="2:31" ht="57" customHeight="1">
      <c r="B8" s="1743">
        <v>1</v>
      </c>
      <c r="C8" s="1875" t="s">
        <v>36</v>
      </c>
      <c r="D8" s="1875" t="s">
        <v>37</v>
      </c>
      <c r="E8" s="1912">
        <v>45064</v>
      </c>
      <c r="F8" s="1912">
        <v>45169</v>
      </c>
      <c r="G8" s="1875" t="s">
        <v>38</v>
      </c>
      <c r="H8" s="1914">
        <v>0.12570000000000001</v>
      </c>
      <c r="I8" s="1907">
        <v>6.3E-2</v>
      </c>
      <c r="J8" s="1907">
        <v>6.7000000000000004E-2</v>
      </c>
      <c r="K8" s="1908" t="s">
        <v>39</v>
      </c>
      <c r="L8" s="1782"/>
      <c r="M8" s="1910">
        <v>4.5</v>
      </c>
      <c r="N8" s="1910">
        <v>45.2</v>
      </c>
      <c r="O8" s="1875"/>
      <c r="P8" s="1875" t="s">
        <v>40</v>
      </c>
      <c r="Q8" s="1875" t="s">
        <v>40</v>
      </c>
      <c r="R8" s="1875"/>
      <c r="S8" s="1875"/>
      <c r="T8" s="1875"/>
      <c r="U8" s="1875"/>
      <c r="V8" s="1875"/>
      <c r="W8" s="1875" t="s">
        <v>41</v>
      </c>
      <c r="X8" s="1903"/>
      <c r="Y8" s="1903" t="s">
        <v>40</v>
      </c>
      <c r="Z8" s="1875" t="s">
        <v>42</v>
      </c>
      <c r="AA8" s="1875"/>
      <c r="AB8" s="1875"/>
      <c r="AE8" s="1730" t="s">
        <v>43</v>
      </c>
    </row>
    <row r="9" spans="2:31" ht="14.25" customHeight="1">
      <c r="B9" s="1744">
        <v>1</v>
      </c>
      <c r="C9" s="1876"/>
      <c r="D9" s="1876"/>
      <c r="E9" s="1913"/>
      <c r="F9" s="1913"/>
      <c r="G9" s="1876"/>
      <c r="H9" s="1915"/>
      <c r="I9" s="1889"/>
      <c r="J9" s="1889"/>
      <c r="K9" s="1909"/>
      <c r="L9" s="1783"/>
      <c r="M9" s="1911"/>
      <c r="N9" s="1911"/>
      <c r="O9" s="1876"/>
      <c r="P9" s="1876"/>
      <c r="Q9" s="1876"/>
      <c r="R9" s="1876"/>
      <c r="S9" s="1876"/>
      <c r="T9" s="1876"/>
      <c r="U9" s="1876"/>
      <c r="V9" s="1876"/>
      <c r="W9" s="1876"/>
      <c r="X9" s="1904"/>
      <c r="Y9" s="1904"/>
      <c r="Z9" s="1876"/>
      <c r="AA9" s="1876"/>
      <c r="AB9" s="1876"/>
    </row>
    <row r="10" spans="2:31" ht="57" customHeight="1">
      <c r="B10" s="1745">
        <v>2</v>
      </c>
      <c r="C10" s="1894" t="s">
        <v>44</v>
      </c>
      <c r="D10" s="1894"/>
      <c r="E10" s="1905"/>
      <c r="F10" s="1905"/>
      <c r="G10" s="1894"/>
      <c r="H10" s="1884"/>
      <c r="I10" s="1886"/>
      <c r="J10" s="1888"/>
      <c r="K10" s="1899"/>
      <c r="L10" s="1784"/>
      <c r="M10" s="1892"/>
      <c r="N10" s="1892"/>
      <c r="O10" s="1894"/>
      <c r="P10" s="1894"/>
      <c r="Q10" s="1894"/>
      <c r="R10" s="1894"/>
      <c r="S10" s="1894"/>
      <c r="T10" s="1894"/>
      <c r="U10" s="1894"/>
      <c r="V10" s="1894"/>
      <c r="W10" s="1894" t="s">
        <v>45</v>
      </c>
      <c r="X10" s="1897"/>
      <c r="Y10" s="1897"/>
      <c r="Z10" s="1872" t="s">
        <v>46</v>
      </c>
      <c r="AA10" s="1872"/>
      <c r="AB10" s="1872" t="s">
        <v>47</v>
      </c>
    </row>
    <row r="11" spans="2:31" ht="14.25" customHeight="1">
      <c r="B11" s="1744" t="s">
        <v>48</v>
      </c>
      <c r="C11" s="1873"/>
      <c r="D11" s="1873"/>
      <c r="E11" s="1906"/>
      <c r="F11" s="1906"/>
      <c r="G11" s="1873"/>
      <c r="H11" s="1885"/>
      <c r="I11" s="1887"/>
      <c r="J11" s="1889"/>
      <c r="K11" s="1900"/>
      <c r="L11" s="1783"/>
      <c r="M11" s="1893"/>
      <c r="N11" s="1893"/>
      <c r="O11" s="1873"/>
      <c r="P11" s="1873"/>
      <c r="Q11" s="1873"/>
      <c r="R11" s="1873"/>
      <c r="S11" s="1873"/>
      <c r="T11" s="1873"/>
      <c r="U11" s="1873"/>
      <c r="V11" s="1873"/>
      <c r="W11" s="1873"/>
      <c r="X11" s="1898"/>
      <c r="Y11" s="1898"/>
      <c r="Z11" s="1873"/>
      <c r="AA11" s="1873"/>
      <c r="AB11" s="1873"/>
    </row>
    <row r="12" spans="2:31" ht="66.599999999999994" customHeight="1">
      <c r="B12" s="1745">
        <v>3</v>
      </c>
      <c r="C12" s="1894" t="s">
        <v>49</v>
      </c>
      <c r="D12" s="1879"/>
      <c r="E12" s="1895"/>
      <c r="F12" s="1895"/>
      <c r="G12" s="1879"/>
      <c r="H12" s="1884"/>
      <c r="I12" s="1886"/>
      <c r="J12" s="1888"/>
      <c r="K12" s="1890"/>
      <c r="L12" s="1784"/>
      <c r="M12" s="1892"/>
      <c r="N12" s="1892"/>
      <c r="O12" s="1879"/>
      <c r="P12" s="1879"/>
      <c r="Q12" s="1901"/>
      <c r="R12" s="1879"/>
      <c r="S12" s="1879"/>
      <c r="T12" s="1879"/>
      <c r="U12" s="1879"/>
      <c r="V12" s="1879"/>
      <c r="W12" s="1894" t="s">
        <v>45</v>
      </c>
      <c r="X12" s="1877"/>
      <c r="Y12" s="1877"/>
      <c r="Z12" s="1872" t="s">
        <v>46</v>
      </c>
      <c r="AA12" s="1872"/>
      <c r="AB12" s="1872" t="s">
        <v>47</v>
      </c>
    </row>
    <row r="13" spans="2:31" ht="14.25" customHeight="1">
      <c r="B13" s="1744" t="s">
        <v>48</v>
      </c>
      <c r="C13" s="1873"/>
      <c r="D13" s="1880"/>
      <c r="E13" s="1896"/>
      <c r="F13" s="1896"/>
      <c r="G13" s="1880"/>
      <c r="H13" s="1885"/>
      <c r="I13" s="1887"/>
      <c r="J13" s="1889"/>
      <c r="K13" s="1891"/>
      <c r="L13" s="1783"/>
      <c r="M13" s="1893"/>
      <c r="N13" s="1893"/>
      <c r="O13" s="1880"/>
      <c r="P13" s="1880"/>
      <c r="Q13" s="1902"/>
      <c r="R13" s="1880"/>
      <c r="S13" s="1880"/>
      <c r="T13" s="1880"/>
      <c r="U13" s="1880"/>
      <c r="V13" s="1880"/>
      <c r="W13" s="1873"/>
      <c r="X13" s="1878"/>
      <c r="Y13" s="1878"/>
      <c r="Z13" s="1873"/>
      <c r="AA13" s="1873"/>
      <c r="AB13" s="1873"/>
    </row>
    <row r="14" spans="2:31" ht="57" customHeight="1">
      <c r="B14" s="1745">
        <v>4</v>
      </c>
      <c r="C14" s="1894" t="s">
        <v>50</v>
      </c>
      <c r="D14" s="1879"/>
      <c r="E14" s="1895"/>
      <c r="F14" s="1895"/>
      <c r="G14" s="1879"/>
      <c r="H14" s="1884"/>
      <c r="I14" s="1886"/>
      <c r="J14" s="1888"/>
      <c r="K14" s="1890"/>
      <c r="L14" s="1784"/>
      <c r="M14" s="1892"/>
      <c r="N14" s="1892"/>
      <c r="O14" s="1879"/>
      <c r="P14" s="1879"/>
      <c r="Q14" s="1879"/>
      <c r="R14" s="1879"/>
      <c r="S14" s="1879"/>
      <c r="T14" s="1879"/>
      <c r="U14" s="1879"/>
      <c r="V14" s="1879"/>
      <c r="W14" s="1894" t="s">
        <v>45</v>
      </c>
      <c r="X14" s="1877"/>
      <c r="Y14" s="1877"/>
      <c r="Z14" s="1872" t="s">
        <v>46</v>
      </c>
      <c r="AA14" s="1872"/>
      <c r="AB14" s="1872" t="s">
        <v>47</v>
      </c>
    </row>
    <row r="15" spans="2:31" ht="14.25" customHeight="1">
      <c r="B15" s="1744" t="s">
        <v>51</v>
      </c>
      <c r="C15" s="1873"/>
      <c r="D15" s="1880"/>
      <c r="E15" s="1896"/>
      <c r="F15" s="1896"/>
      <c r="G15" s="1880"/>
      <c r="H15" s="1885"/>
      <c r="I15" s="1887"/>
      <c r="J15" s="1889"/>
      <c r="K15" s="1891"/>
      <c r="L15" s="1783"/>
      <c r="M15" s="1893"/>
      <c r="N15" s="1893"/>
      <c r="O15" s="1880"/>
      <c r="P15" s="1880"/>
      <c r="Q15" s="1880"/>
      <c r="R15" s="1880"/>
      <c r="S15" s="1880"/>
      <c r="T15" s="1880"/>
      <c r="U15" s="1880"/>
      <c r="V15" s="1880"/>
      <c r="W15" s="1873"/>
      <c r="X15" s="1878"/>
      <c r="Y15" s="1878"/>
      <c r="Z15" s="1873"/>
      <c r="AA15" s="1873"/>
      <c r="AB15" s="1873"/>
    </row>
    <row r="16" spans="2:31" ht="69.75" customHeight="1">
      <c r="B16" s="1745">
        <v>5</v>
      </c>
      <c r="C16" s="1894" t="s">
        <v>52</v>
      </c>
      <c r="D16" s="1879"/>
      <c r="E16" s="1895"/>
      <c r="F16" s="1895"/>
      <c r="G16" s="1879"/>
      <c r="H16" s="1884"/>
      <c r="I16" s="1886"/>
      <c r="J16" s="1888"/>
      <c r="K16" s="1890"/>
      <c r="L16" s="1784"/>
      <c r="M16" s="1892"/>
      <c r="N16" s="1892"/>
      <c r="O16" s="1879"/>
      <c r="P16" s="1879"/>
      <c r="Q16" s="1879"/>
      <c r="R16" s="1879"/>
      <c r="S16" s="1879"/>
      <c r="T16" s="1879"/>
      <c r="U16" s="1879"/>
      <c r="V16" s="1879"/>
      <c r="W16" s="1894" t="s">
        <v>45</v>
      </c>
      <c r="X16" s="1877"/>
      <c r="Y16" s="1877"/>
      <c r="Z16" s="1872" t="s">
        <v>46</v>
      </c>
      <c r="AA16" s="1872"/>
      <c r="AB16" s="1872" t="s">
        <v>47</v>
      </c>
    </row>
    <row r="17" spans="2:28" ht="14.25" customHeight="1">
      <c r="B17" s="1744" t="s">
        <v>48</v>
      </c>
      <c r="C17" s="1873"/>
      <c r="D17" s="1880"/>
      <c r="E17" s="1896"/>
      <c r="F17" s="1896"/>
      <c r="G17" s="1880"/>
      <c r="H17" s="1885"/>
      <c r="I17" s="1887"/>
      <c r="J17" s="1889"/>
      <c r="K17" s="1891"/>
      <c r="L17" s="1783"/>
      <c r="M17" s="1893"/>
      <c r="N17" s="1893"/>
      <c r="O17" s="1880"/>
      <c r="P17" s="1880"/>
      <c r="Q17" s="1880"/>
      <c r="R17" s="1880"/>
      <c r="S17" s="1880"/>
      <c r="T17" s="1880"/>
      <c r="U17" s="1880"/>
      <c r="V17" s="1880"/>
      <c r="W17" s="1873"/>
      <c r="X17" s="1878"/>
      <c r="Y17" s="1878"/>
      <c r="Z17" s="1873"/>
      <c r="AA17" s="1873"/>
      <c r="AB17" s="1873"/>
    </row>
    <row r="18" spans="2:28" s="1746" customFormat="1" ht="57" customHeight="1">
      <c r="B18" s="1745">
        <v>6</v>
      </c>
      <c r="C18" s="1894" t="s">
        <v>53</v>
      </c>
      <c r="D18" s="1879"/>
      <c r="E18" s="1895"/>
      <c r="F18" s="1895"/>
      <c r="G18" s="1879"/>
      <c r="H18" s="1884"/>
      <c r="I18" s="1886"/>
      <c r="J18" s="1888"/>
      <c r="K18" s="1890"/>
      <c r="L18" s="1784"/>
      <c r="M18" s="1892"/>
      <c r="N18" s="1892"/>
      <c r="O18" s="1879"/>
      <c r="P18" s="1879"/>
      <c r="Q18" s="1879"/>
      <c r="R18" s="1879"/>
      <c r="S18" s="1879"/>
      <c r="T18" s="1879"/>
      <c r="U18" s="1879"/>
      <c r="V18" s="1879"/>
      <c r="W18" s="1894" t="s">
        <v>45</v>
      </c>
      <c r="X18" s="1877"/>
      <c r="Y18" s="1877"/>
      <c r="Z18" s="1872" t="s">
        <v>46</v>
      </c>
      <c r="AA18" s="1872"/>
      <c r="AB18" s="1872" t="s">
        <v>47</v>
      </c>
    </row>
    <row r="19" spans="2:28" s="1746" customFormat="1" ht="14.25" customHeight="1">
      <c r="B19" s="1744" t="s">
        <v>48</v>
      </c>
      <c r="C19" s="1873"/>
      <c r="D19" s="1880"/>
      <c r="E19" s="1896"/>
      <c r="F19" s="1896"/>
      <c r="G19" s="1880"/>
      <c r="H19" s="1885"/>
      <c r="I19" s="1887"/>
      <c r="J19" s="1889"/>
      <c r="K19" s="1891"/>
      <c r="L19" s="1783"/>
      <c r="M19" s="1893"/>
      <c r="N19" s="1893"/>
      <c r="O19" s="1880"/>
      <c r="P19" s="1880"/>
      <c r="Q19" s="1880"/>
      <c r="R19" s="1880"/>
      <c r="S19" s="1880"/>
      <c r="T19" s="1880"/>
      <c r="U19" s="1880"/>
      <c r="V19" s="1880"/>
      <c r="W19" s="1873"/>
      <c r="X19" s="1878"/>
      <c r="Y19" s="1878"/>
      <c r="Z19" s="1873"/>
      <c r="AA19" s="1873"/>
      <c r="AB19" s="1873"/>
    </row>
    <row r="20" spans="2:28" ht="62.45" customHeight="1">
      <c r="B20" s="1745">
        <v>7</v>
      </c>
      <c r="C20" s="1894" t="s">
        <v>54</v>
      </c>
      <c r="D20" s="1879"/>
      <c r="E20" s="1895"/>
      <c r="F20" s="1895"/>
      <c r="G20" s="1879"/>
      <c r="H20" s="1884"/>
      <c r="I20" s="1886"/>
      <c r="J20" s="1888"/>
      <c r="K20" s="1890"/>
      <c r="L20" s="1784"/>
      <c r="M20" s="1892"/>
      <c r="N20" s="1892"/>
      <c r="O20" s="1879"/>
      <c r="P20" s="1879"/>
      <c r="Q20" s="1879"/>
      <c r="R20" s="1879"/>
      <c r="S20" s="1879"/>
      <c r="T20" s="1879"/>
      <c r="U20" s="1879"/>
      <c r="V20" s="1879"/>
      <c r="W20" s="1894" t="s">
        <v>45</v>
      </c>
      <c r="X20" s="1877"/>
      <c r="Y20" s="1877"/>
      <c r="Z20" s="1872" t="s">
        <v>46</v>
      </c>
      <c r="AA20" s="1872"/>
      <c r="AB20" s="1872" t="s">
        <v>47</v>
      </c>
    </row>
    <row r="21" spans="2:28" ht="14.25" customHeight="1">
      <c r="B21" s="1744" t="s">
        <v>48</v>
      </c>
      <c r="C21" s="1873"/>
      <c r="D21" s="1880"/>
      <c r="E21" s="1896"/>
      <c r="F21" s="1896"/>
      <c r="G21" s="1880"/>
      <c r="H21" s="1885"/>
      <c r="I21" s="1887"/>
      <c r="J21" s="1889"/>
      <c r="K21" s="1891"/>
      <c r="L21" s="1783"/>
      <c r="M21" s="1893"/>
      <c r="N21" s="1893"/>
      <c r="O21" s="1880"/>
      <c r="P21" s="1880"/>
      <c r="Q21" s="1880"/>
      <c r="R21" s="1880"/>
      <c r="S21" s="1880"/>
      <c r="T21" s="1880"/>
      <c r="U21" s="1880"/>
      <c r="V21" s="1880"/>
      <c r="W21" s="1873"/>
      <c r="X21" s="1878"/>
      <c r="Y21" s="1878"/>
      <c r="Z21" s="1873"/>
      <c r="AA21" s="1873"/>
      <c r="AB21" s="1873"/>
    </row>
    <row r="22" spans="2:28" ht="57" customHeight="1">
      <c r="B22" s="1745">
        <v>19</v>
      </c>
      <c r="C22" s="1894" t="s">
        <v>55</v>
      </c>
      <c r="D22" s="1879"/>
      <c r="E22" s="1895"/>
      <c r="F22" s="1895"/>
      <c r="G22" s="1879"/>
      <c r="H22" s="1884"/>
      <c r="I22" s="1886"/>
      <c r="J22" s="1888"/>
      <c r="K22" s="1890"/>
      <c r="L22" s="1784"/>
      <c r="M22" s="1892"/>
      <c r="N22" s="1892"/>
      <c r="O22" s="1879"/>
      <c r="P22" s="1879"/>
      <c r="Q22" s="1879"/>
      <c r="R22" s="1879"/>
      <c r="S22" s="1879"/>
      <c r="T22" s="1879"/>
      <c r="U22" s="1879"/>
      <c r="V22" s="1879"/>
      <c r="W22" s="1894" t="s">
        <v>45</v>
      </c>
      <c r="X22" s="1877"/>
      <c r="Y22" s="1877"/>
      <c r="Z22" s="1872" t="s">
        <v>46</v>
      </c>
      <c r="AA22" s="1872"/>
      <c r="AB22" s="1872" t="s">
        <v>47</v>
      </c>
    </row>
    <row r="23" spans="2:28" ht="14.25" customHeight="1">
      <c r="B23" s="1744" t="s">
        <v>48</v>
      </c>
      <c r="C23" s="1873"/>
      <c r="D23" s="1880"/>
      <c r="E23" s="1896"/>
      <c r="F23" s="1896"/>
      <c r="G23" s="1880"/>
      <c r="H23" s="1885"/>
      <c r="I23" s="1887"/>
      <c r="J23" s="1889"/>
      <c r="K23" s="1891"/>
      <c r="L23" s="1783"/>
      <c r="M23" s="1893"/>
      <c r="N23" s="1893"/>
      <c r="O23" s="1880"/>
      <c r="P23" s="1880"/>
      <c r="Q23" s="1880"/>
      <c r="R23" s="1880"/>
      <c r="S23" s="1880"/>
      <c r="T23" s="1880"/>
      <c r="U23" s="1880"/>
      <c r="V23" s="1880"/>
      <c r="W23" s="1873"/>
      <c r="X23" s="1878"/>
      <c r="Y23" s="1878"/>
      <c r="Z23" s="1873"/>
      <c r="AA23" s="1873"/>
      <c r="AB23" s="1873"/>
    </row>
    <row r="24" spans="2:28" ht="57" customHeight="1">
      <c r="B24" s="1745">
        <v>20</v>
      </c>
      <c r="C24" s="1894" t="s">
        <v>56</v>
      </c>
      <c r="D24" s="1879"/>
      <c r="E24" s="1895"/>
      <c r="F24" s="1895"/>
      <c r="G24" s="1879"/>
      <c r="H24" s="1884"/>
      <c r="I24" s="1886"/>
      <c r="J24" s="1888"/>
      <c r="K24" s="1890"/>
      <c r="L24" s="1784"/>
      <c r="M24" s="1892"/>
      <c r="N24" s="1892"/>
      <c r="O24" s="1879"/>
      <c r="P24" s="1879"/>
      <c r="Q24" s="1879"/>
      <c r="R24" s="1879"/>
      <c r="S24" s="1879"/>
      <c r="T24" s="1879"/>
      <c r="U24" s="1879"/>
      <c r="V24" s="1879"/>
      <c r="W24" s="1894" t="s">
        <v>45</v>
      </c>
      <c r="X24" s="1877"/>
      <c r="Y24" s="1877"/>
      <c r="Z24" s="1872" t="s">
        <v>46</v>
      </c>
      <c r="AA24" s="1872"/>
      <c r="AB24" s="1872" t="s">
        <v>47</v>
      </c>
    </row>
    <row r="25" spans="2:28" ht="14.25" customHeight="1">
      <c r="B25" s="1744" t="s">
        <v>48</v>
      </c>
      <c r="C25" s="1873"/>
      <c r="D25" s="1880"/>
      <c r="E25" s="1896"/>
      <c r="F25" s="1896"/>
      <c r="G25" s="1880"/>
      <c r="H25" s="1885"/>
      <c r="I25" s="1887"/>
      <c r="J25" s="1889"/>
      <c r="K25" s="1891"/>
      <c r="L25" s="1783"/>
      <c r="M25" s="1893"/>
      <c r="N25" s="1893"/>
      <c r="O25" s="1880"/>
      <c r="P25" s="1880"/>
      <c r="Q25" s="1880"/>
      <c r="R25" s="1880"/>
      <c r="S25" s="1880"/>
      <c r="T25" s="1880"/>
      <c r="U25" s="1880"/>
      <c r="V25" s="1880"/>
      <c r="W25" s="1873"/>
      <c r="X25" s="1878"/>
      <c r="Y25" s="1878"/>
      <c r="Z25" s="1873"/>
      <c r="AA25" s="1873"/>
      <c r="AB25" s="1873"/>
    </row>
    <row r="26" spans="2:28" ht="72" customHeight="1">
      <c r="B26" s="1745">
        <v>21</v>
      </c>
      <c r="C26" s="1894" t="s">
        <v>57</v>
      </c>
      <c r="D26" s="1879"/>
      <c r="E26" s="1895" t="s">
        <v>58</v>
      </c>
      <c r="F26" s="1895" t="s">
        <v>59</v>
      </c>
      <c r="G26" s="1879" t="s">
        <v>60</v>
      </c>
      <c r="H26" s="1884"/>
      <c r="I26" s="1886">
        <v>3.5000000000000003E-2</v>
      </c>
      <c r="J26" s="1888"/>
      <c r="K26" s="1890" t="s">
        <v>61</v>
      </c>
      <c r="L26" s="1785" t="s">
        <v>62</v>
      </c>
      <c r="M26" s="1892"/>
      <c r="N26" s="1892"/>
      <c r="O26" s="1879"/>
      <c r="P26" s="1879" t="s">
        <v>40</v>
      </c>
      <c r="Q26" s="1879"/>
      <c r="R26" s="1879"/>
      <c r="S26" s="1879"/>
      <c r="T26" s="1879"/>
      <c r="U26" s="1879"/>
      <c r="V26" s="1879" t="s">
        <v>40</v>
      </c>
      <c r="W26" s="1894" t="s">
        <v>63</v>
      </c>
      <c r="X26" s="1877" t="s">
        <v>64</v>
      </c>
      <c r="Y26" s="1877" t="s">
        <v>64</v>
      </c>
      <c r="Z26" s="1872" t="s">
        <v>65</v>
      </c>
      <c r="AA26" s="1872" t="s">
        <v>66</v>
      </c>
      <c r="AB26" s="1872" t="s">
        <v>67</v>
      </c>
    </row>
    <row r="27" spans="2:28" ht="14.25" customHeight="1">
      <c r="B27" s="1744" t="s">
        <v>48</v>
      </c>
      <c r="C27" s="1873"/>
      <c r="D27" s="1880"/>
      <c r="E27" s="1896"/>
      <c r="F27" s="1896"/>
      <c r="G27" s="1880"/>
      <c r="H27" s="1885"/>
      <c r="I27" s="1887"/>
      <c r="J27" s="1889"/>
      <c r="K27" s="1891"/>
      <c r="L27" s="1783"/>
      <c r="M27" s="1893"/>
      <c r="N27" s="1893"/>
      <c r="O27" s="1880"/>
      <c r="P27" s="1880"/>
      <c r="Q27" s="1880"/>
      <c r="R27" s="1880"/>
      <c r="S27" s="1880"/>
      <c r="T27" s="1880"/>
      <c r="U27" s="1880"/>
      <c r="V27" s="1880"/>
      <c r="W27" s="1873"/>
      <c r="X27" s="1878"/>
      <c r="Y27" s="1878"/>
      <c r="Z27" s="1873"/>
      <c r="AA27" s="1873"/>
      <c r="AB27" s="1873"/>
    </row>
    <row r="28" spans="2:28" ht="57" customHeight="1">
      <c r="B28" s="1745">
        <v>22</v>
      </c>
      <c r="C28" s="1894" t="s">
        <v>68</v>
      </c>
      <c r="D28" s="1879"/>
      <c r="E28" s="1895" t="s">
        <v>58</v>
      </c>
      <c r="F28" s="1895" t="s">
        <v>59</v>
      </c>
      <c r="G28" s="1879" t="s">
        <v>60</v>
      </c>
      <c r="H28" s="1884"/>
      <c r="I28" s="1886">
        <v>0.03</v>
      </c>
      <c r="J28" s="1888"/>
      <c r="K28" s="1890" t="s">
        <v>69</v>
      </c>
      <c r="L28" s="1784"/>
      <c r="M28" s="1892"/>
      <c r="N28" s="1892"/>
      <c r="O28" s="1879"/>
      <c r="P28" s="1879" t="s">
        <v>40</v>
      </c>
      <c r="Q28" s="1879"/>
      <c r="R28" s="1879"/>
      <c r="S28" s="1879"/>
      <c r="T28" s="1879"/>
      <c r="U28" s="1879"/>
      <c r="V28" s="1879" t="s">
        <v>40</v>
      </c>
      <c r="W28" s="1894" t="s">
        <v>63</v>
      </c>
      <c r="X28" s="1877"/>
      <c r="Y28" s="1877" t="s">
        <v>64</v>
      </c>
      <c r="Z28" s="1872" t="s">
        <v>65</v>
      </c>
      <c r="AA28" s="1872"/>
      <c r="AB28" s="1872" t="s">
        <v>67</v>
      </c>
    </row>
    <row r="29" spans="2:28" ht="14.25" customHeight="1">
      <c r="B29" s="1744" t="s">
        <v>48</v>
      </c>
      <c r="C29" s="1873"/>
      <c r="D29" s="1880"/>
      <c r="E29" s="1896"/>
      <c r="F29" s="1896"/>
      <c r="G29" s="1880"/>
      <c r="H29" s="1885"/>
      <c r="I29" s="1887"/>
      <c r="J29" s="1889"/>
      <c r="K29" s="1891"/>
      <c r="L29" s="1783"/>
      <c r="M29" s="1893"/>
      <c r="N29" s="1893"/>
      <c r="O29" s="1880"/>
      <c r="P29" s="1880"/>
      <c r="Q29" s="1880"/>
      <c r="R29" s="1880"/>
      <c r="S29" s="1880"/>
      <c r="T29" s="1880"/>
      <c r="U29" s="1880"/>
      <c r="V29" s="1880"/>
      <c r="W29" s="1873"/>
      <c r="X29" s="1878"/>
      <c r="Y29" s="1878"/>
      <c r="Z29" s="1873"/>
      <c r="AA29" s="1873"/>
      <c r="AB29" s="1873"/>
    </row>
    <row r="30" spans="2:28" ht="57" customHeight="1">
      <c r="B30" s="1745">
        <v>23</v>
      </c>
      <c r="C30" s="1894" t="s">
        <v>70</v>
      </c>
      <c r="D30" s="1879"/>
      <c r="E30" s="1895" t="s">
        <v>58</v>
      </c>
      <c r="F30" s="1895" t="s">
        <v>71</v>
      </c>
      <c r="G30" s="1879" t="s">
        <v>60</v>
      </c>
      <c r="H30" s="1884"/>
      <c r="I30" s="1886">
        <v>4.0000000000000001E-3</v>
      </c>
      <c r="J30" s="1888"/>
      <c r="K30" s="1890" t="s">
        <v>72</v>
      </c>
      <c r="L30" s="1784"/>
      <c r="M30" s="1892"/>
      <c r="N30" s="1892"/>
      <c r="O30" s="1879"/>
      <c r="P30" s="1879" t="s">
        <v>40</v>
      </c>
      <c r="Q30" s="1879"/>
      <c r="R30" s="1879"/>
      <c r="S30" s="1879"/>
      <c r="T30" s="1879"/>
      <c r="U30" s="1879"/>
      <c r="V30" s="1879" t="s">
        <v>40</v>
      </c>
      <c r="W30" s="1894" t="s">
        <v>63</v>
      </c>
      <c r="X30" s="1877"/>
      <c r="Y30" s="1877" t="s">
        <v>64</v>
      </c>
      <c r="Z30" s="1872" t="s">
        <v>65</v>
      </c>
      <c r="AA30" s="1872"/>
      <c r="AB30" s="1872" t="s">
        <v>67</v>
      </c>
    </row>
    <row r="31" spans="2:28" ht="14.25" customHeight="1">
      <c r="B31" s="1744" t="s">
        <v>48</v>
      </c>
      <c r="C31" s="1873"/>
      <c r="D31" s="1880"/>
      <c r="E31" s="1896"/>
      <c r="F31" s="1896"/>
      <c r="G31" s="1880"/>
      <c r="H31" s="1885"/>
      <c r="I31" s="1887"/>
      <c r="J31" s="1889"/>
      <c r="K31" s="1891"/>
      <c r="L31" s="1783"/>
      <c r="M31" s="1893"/>
      <c r="N31" s="1893"/>
      <c r="O31" s="1880"/>
      <c r="P31" s="1880"/>
      <c r="Q31" s="1880"/>
      <c r="R31" s="1880"/>
      <c r="S31" s="1880"/>
      <c r="T31" s="1880"/>
      <c r="U31" s="1880"/>
      <c r="V31" s="1880"/>
      <c r="W31" s="1873"/>
      <c r="X31" s="1878"/>
      <c r="Y31" s="1878"/>
      <c r="Z31" s="1873"/>
      <c r="AA31" s="1873"/>
      <c r="AB31" s="1873"/>
    </row>
    <row r="32" spans="2:28" ht="57" customHeight="1">
      <c r="B32" s="1745">
        <v>24</v>
      </c>
      <c r="C32" s="1894" t="s">
        <v>73</v>
      </c>
      <c r="D32" s="1879"/>
      <c r="E32" s="1895" t="s">
        <v>58</v>
      </c>
      <c r="F32" s="1895" t="s">
        <v>59</v>
      </c>
      <c r="G32" s="1879" t="s">
        <v>60</v>
      </c>
      <c r="H32" s="1884"/>
      <c r="I32" s="1886">
        <v>0.02</v>
      </c>
      <c r="J32" s="1888"/>
      <c r="K32" s="1890" t="s">
        <v>74</v>
      </c>
      <c r="L32" s="1784"/>
      <c r="M32" s="1892"/>
      <c r="N32" s="1892"/>
      <c r="O32" s="1879"/>
      <c r="P32" s="1879" t="s">
        <v>40</v>
      </c>
      <c r="Q32" s="1879"/>
      <c r="R32" s="1879"/>
      <c r="S32" s="1879"/>
      <c r="T32" s="1879"/>
      <c r="U32" s="1879"/>
      <c r="V32" s="1879" t="s">
        <v>40</v>
      </c>
      <c r="W32" s="1894" t="s">
        <v>63</v>
      </c>
      <c r="X32" s="1877"/>
      <c r="Y32" s="1877" t="s">
        <v>64</v>
      </c>
      <c r="Z32" s="1872" t="s">
        <v>65</v>
      </c>
      <c r="AA32" s="1872"/>
      <c r="AB32" s="1872" t="s">
        <v>67</v>
      </c>
    </row>
    <row r="33" spans="2:28" ht="14.25" customHeight="1">
      <c r="B33" s="1744" t="s">
        <v>48</v>
      </c>
      <c r="C33" s="1873"/>
      <c r="D33" s="1880"/>
      <c r="E33" s="1896"/>
      <c r="F33" s="1896"/>
      <c r="G33" s="1880"/>
      <c r="H33" s="1885"/>
      <c r="I33" s="1887"/>
      <c r="J33" s="1889"/>
      <c r="K33" s="1891"/>
      <c r="L33" s="1783"/>
      <c r="M33" s="1893"/>
      <c r="N33" s="1893"/>
      <c r="O33" s="1880"/>
      <c r="P33" s="1880"/>
      <c r="Q33" s="1880"/>
      <c r="R33" s="1880"/>
      <c r="S33" s="1880"/>
      <c r="T33" s="1880"/>
      <c r="U33" s="1880"/>
      <c r="V33" s="1880"/>
      <c r="W33" s="1873"/>
      <c r="X33" s="1878"/>
      <c r="Y33" s="1878"/>
      <c r="Z33" s="1873"/>
      <c r="AA33" s="1873"/>
      <c r="AB33" s="1873"/>
    </row>
    <row r="35" spans="2:28" ht="57" customHeight="1">
      <c r="B35" s="1745">
        <v>25</v>
      </c>
      <c r="C35" s="1894" t="s">
        <v>75</v>
      </c>
      <c r="D35" s="1879"/>
      <c r="E35" s="1895" t="s">
        <v>58</v>
      </c>
      <c r="F35" s="1895" t="s">
        <v>59</v>
      </c>
      <c r="G35" s="1879" t="s">
        <v>60</v>
      </c>
      <c r="H35" s="1884"/>
      <c r="I35" s="1886">
        <v>0.01</v>
      </c>
      <c r="J35" s="1888"/>
      <c r="K35" s="1890" t="s">
        <v>76</v>
      </c>
      <c r="L35" s="1784"/>
      <c r="M35" s="1892"/>
      <c r="N35" s="1892"/>
      <c r="O35" s="1879"/>
      <c r="P35" s="1879" t="s">
        <v>40</v>
      </c>
      <c r="Q35" s="1879"/>
      <c r="R35" s="1879"/>
      <c r="S35" s="1879"/>
      <c r="T35" s="1879"/>
      <c r="U35" s="1879"/>
      <c r="V35" s="1879" t="s">
        <v>40</v>
      </c>
      <c r="W35" s="1894" t="s">
        <v>63</v>
      </c>
      <c r="X35" s="1877" t="s">
        <v>64</v>
      </c>
      <c r="Y35" s="1877"/>
      <c r="Z35" s="1897" t="s">
        <v>65</v>
      </c>
      <c r="AA35" s="1897"/>
      <c r="AB35" s="1897" t="s">
        <v>67</v>
      </c>
    </row>
    <row r="36" spans="2:28" ht="14.25" customHeight="1">
      <c r="B36" s="1744" t="s">
        <v>48</v>
      </c>
      <c r="C36" s="1873"/>
      <c r="D36" s="1880"/>
      <c r="E36" s="1896"/>
      <c r="F36" s="1896"/>
      <c r="G36" s="1880"/>
      <c r="H36" s="1885"/>
      <c r="I36" s="1887"/>
      <c r="J36" s="1889"/>
      <c r="K36" s="1891"/>
      <c r="L36" s="1783"/>
      <c r="M36" s="1893"/>
      <c r="N36" s="1893"/>
      <c r="O36" s="1880"/>
      <c r="P36" s="1880"/>
      <c r="Q36" s="1880"/>
      <c r="R36" s="1880"/>
      <c r="S36" s="1880"/>
      <c r="T36" s="1880"/>
      <c r="U36" s="1880"/>
      <c r="V36" s="1880"/>
      <c r="W36" s="1873"/>
      <c r="X36" s="1878"/>
      <c r="Y36" s="1878"/>
      <c r="Z36" s="1898"/>
      <c r="AA36" s="1898"/>
      <c r="AB36" s="1898"/>
    </row>
    <row r="38" spans="2:28" ht="84.75" customHeight="1">
      <c r="B38" s="1745">
        <v>26</v>
      </c>
      <c r="C38" s="1894" t="s">
        <v>77</v>
      </c>
      <c r="D38" s="1879"/>
      <c r="E38" s="1895" t="s">
        <v>58</v>
      </c>
      <c r="F38" s="1895" t="s">
        <v>71</v>
      </c>
      <c r="G38" s="1879" t="s">
        <v>60</v>
      </c>
      <c r="H38" s="1884"/>
      <c r="I38" s="1886">
        <v>0.01</v>
      </c>
      <c r="J38" s="1888"/>
      <c r="K38" s="1890" t="s">
        <v>76</v>
      </c>
      <c r="L38" s="1784"/>
      <c r="M38" s="1892"/>
      <c r="N38" s="1892"/>
      <c r="O38" s="1879"/>
      <c r="P38" s="1879" t="s">
        <v>40</v>
      </c>
      <c r="Q38" s="1879"/>
      <c r="R38" s="1879"/>
      <c r="S38" s="1879"/>
      <c r="T38" s="1879"/>
      <c r="U38" s="1879"/>
      <c r="V38" s="1879" t="s">
        <v>40</v>
      </c>
      <c r="W38" s="1894" t="s">
        <v>63</v>
      </c>
      <c r="X38" s="1877"/>
      <c r="Y38" s="1877" t="s">
        <v>64</v>
      </c>
      <c r="Z38" s="1897" t="s">
        <v>65</v>
      </c>
      <c r="AA38" s="1897"/>
      <c r="AB38" s="1897" t="s">
        <v>67</v>
      </c>
    </row>
    <row r="39" spans="2:28" ht="14.25" customHeight="1">
      <c r="B39" s="1744" t="s">
        <v>48</v>
      </c>
      <c r="C39" s="1873"/>
      <c r="D39" s="1880"/>
      <c r="E39" s="1896"/>
      <c r="F39" s="1896"/>
      <c r="G39" s="1880"/>
      <c r="H39" s="1885"/>
      <c r="I39" s="1887"/>
      <c r="J39" s="1889"/>
      <c r="K39" s="1891"/>
      <c r="L39" s="1783"/>
      <c r="M39" s="1893"/>
      <c r="N39" s="1893"/>
      <c r="O39" s="1880"/>
      <c r="P39" s="1880"/>
      <c r="Q39" s="1880"/>
      <c r="R39" s="1880"/>
      <c r="S39" s="1880"/>
      <c r="T39" s="1880"/>
      <c r="U39" s="1880"/>
      <c r="V39" s="1880"/>
      <c r="W39" s="1873"/>
      <c r="X39" s="1878"/>
      <c r="Y39" s="1878"/>
      <c r="Z39" s="1898"/>
      <c r="AA39" s="1898"/>
      <c r="AB39" s="1898"/>
    </row>
    <row r="41" spans="2:28" ht="57" customHeight="1">
      <c r="B41" s="1745">
        <v>27</v>
      </c>
      <c r="C41" s="1894" t="s">
        <v>78</v>
      </c>
      <c r="D41" s="1879"/>
      <c r="E41" s="1895" t="s">
        <v>58</v>
      </c>
      <c r="F41" s="1895" t="s">
        <v>79</v>
      </c>
      <c r="G41" s="1879" t="s">
        <v>80</v>
      </c>
      <c r="H41" s="1884"/>
      <c r="I41" s="1886"/>
      <c r="J41" s="1888"/>
      <c r="K41" s="1890"/>
      <c r="L41" s="1784"/>
      <c r="M41" s="1892"/>
      <c r="N41" s="1892"/>
      <c r="O41" s="1879"/>
      <c r="P41" s="1879"/>
      <c r="Q41" s="1879"/>
      <c r="R41" s="1879"/>
      <c r="S41" s="1879"/>
      <c r="T41" s="1879"/>
      <c r="U41" s="1879"/>
      <c r="V41" s="1879" t="s">
        <v>40</v>
      </c>
      <c r="W41" s="1894" t="s">
        <v>63</v>
      </c>
      <c r="X41" s="1877"/>
      <c r="Y41" s="1877"/>
      <c r="Z41" s="1897" t="s">
        <v>65</v>
      </c>
      <c r="AA41" s="1897"/>
      <c r="AB41" s="1897" t="s">
        <v>81</v>
      </c>
    </row>
    <row r="42" spans="2:28" ht="14.25" customHeight="1">
      <c r="B42" s="1744" t="s">
        <v>48</v>
      </c>
      <c r="C42" s="1873"/>
      <c r="D42" s="1880"/>
      <c r="E42" s="1896"/>
      <c r="F42" s="1896"/>
      <c r="G42" s="1880"/>
      <c r="H42" s="1885"/>
      <c r="I42" s="1887"/>
      <c r="J42" s="1889"/>
      <c r="K42" s="1891"/>
      <c r="L42" s="1783"/>
      <c r="M42" s="1893"/>
      <c r="N42" s="1893"/>
      <c r="O42" s="1880"/>
      <c r="P42" s="1880"/>
      <c r="Q42" s="1880"/>
      <c r="R42" s="1880"/>
      <c r="S42" s="1880"/>
      <c r="T42" s="1880"/>
      <c r="U42" s="1880"/>
      <c r="V42" s="1880"/>
      <c r="W42" s="1873"/>
      <c r="X42" s="1878"/>
      <c r="Y42" s="1878"/>
      <c r="Z42" s="1898"/>
      <c r="AA42" s="1898"/>
      <c r="AB42" s="1898"/>
    </row>
    <row r="44" spans="2:28" ht="71.25" customHeight="1">
      <c r="B44" s="1745">
        <v>30</v>
      </c>
      <c r="C44" s="1894" t="s">
        <v>82</v>
      </c>
      <c r="D44" s="1879"/>
      <c r="E44" s="1895"/>
      <c r="F44" s="1895"/>
      <c r="G44" s="1879"/>
      <c r="H44" s="1884"/>
      <c r="I44" s="1886"/>
      <c r="J44" s="1888"/>
      <c r="K44" s="1890"/>
      <c r="L44" s="1784"/>
      <c r="M44" s="1892"/>
      <c r="N44" s="1892"/>
      <c r="O44" s="1879"/>
      <c r="P44" s="1879"/>
      <c r="Q44" s="1879"/>
      <c r="R44" s="1879"/>
      <c r="S44" s="1879"/>
      <c r="T44" s="1879"/>
      <c r="U44" s="1879"/>
      <c r="V44" s="1879"/>
      <c r="W44" s="1894" t="s">
        <v>83</v>
      </c>
      <c r="X44" s="1877"/>
      <c r="Y44" s="1877"/>
      <c r="Z44" s="1897" t="s">
        <v>42</v>
      </c>
      <c r="AA44" s="1897"/>
      <c r="AB44" s="1897" t="s">
        <v>67</v>
      </c>
    </row>
    <row r="45" spans="2:28" ht="14.25" customHeight="1">
      <c r="B45" s="1744" t="s">
        <v>48</v>
      </c>
      <c r="C45" s="1873"/>
      <c r="D45" s="1880"/>
      <c r="E45" s="1896"/>
      <c r="F45" s="1896"/>
      <c r="G45" s="1880"/>
      <c r="H45" s="1885"/>
      <c r="I45" s="1887"/>
      <c r="J45" s="1889"/>
      <c r="K45" s="1891"/>
      <c r="L45" s="1783"/>
      <c r="M45" s="1893"/>
      <c r="N45" s="1893"/>
      <c r="O45" s="1880"/>
      <c r="P45" s="1880"/>
      <c r="Q45" s="1880"/>
      <c r="R45" s="1880"/>
      <c r="S45" s="1880"/>
      <c r="T45" s="1880"/>
      <c r="U45" s="1880"/>
      <c r="V45" s="1880"/>
      <c r="W45" s="1873"/>
      <c r="X45" s="1878"/>
      <c r="Y45" s="1878"/>
      <c r="Z45" s="1898"/>
      <c r="AA45" s="1898"/>
      <c r="AB45" s="1898"/>
    </row>
    <row r="47" spans="2:28" s="1786" customFormat="1" ht="57" customHeight="1">
      <c r="B47" s="1745">
        <v>31</v>
      </c>
      <c r="C47" s="1894" t="s">
        <v>84</v>
      </c>
      <c r="D47" s="1879"/>
      <c r="E47" s="1895"/>
      <c r="F47" s="1895"/>
      <c r="G47" s="1879"/>
      <c r="H47" s="1884"/>
      <c r="I47" s="1886"/>
      <c r="J47" s="1888"/>
      <c r="K47" s="1890"/>
      <c r="L47" s="1784"/>
      <c r="M47" s="1892"/>
      <c r="N47" s="1892"/>
      <c r="O47" s="1879"/>
      <c r="P47" s="1879"/>
      <c r="Q47" s="1879"/>
      <c r="R47" s="1879"/>
      <c r="S47" s="1879"/>
      <c r="T47" s="1879"/>
      <c r="U47" s="1879"/>
      <c r="V47" s="1879"/>
      <c r="W47" s="1894" t="s">
        <v>85</v>
      </c>
      <c r="X47" s="1877"/>
      <c r="Y47" s="1877"/>
      <c r="Z47" s="1897" t="s">
        <v>86</v>
      </c>
      <c r="AA47" s="1897"/>
      <c r="AB47" s="1897" t="s">
        <v>67</v>
      </c>
    </row>
    <row r="48" spans="2:28" ht="14.25" customHeight="1">
      <c r="B48" s="1744"/>
      <c r="C48" s="1873"/>
      <c r="D48" s="1880"/>
      <c r="E48" s="1896"/>
      <c r="F48" s="1896"/>
      <c r="G48" s="1880"/>
      <c r="H48" s="1885"/>
      <c r="I48" s="1887"/>
      <c r="J48" s="1889"/>
      <c r="K48" s="1891"/>
      <c r="L48" s="1783"/>
      <c r="M48" s="1893"/>
      <c r="N48" s="1893"/>
      <c r="O48" s="1880"/>
      <c r="P48" s="1880"/>
      <c r="Q48" s="1880"/>
      <c r="R48" s="1880"/>
      <c r="S48" s="1880"/>
      <c r="T48" s="1880"/>
      <c r="U48" s="1880"/>
      <c r="V48" s="1880"/>
      <c r="W48" s="1873"/>
      <c r="X48" s="1878"/>
      <c r="Y48" s="1878"/>
      <c r="Z48" s="1898"/>
      <c r="AA48" s="1898"/>
      <c r="AB48" s="1898"/>
    </row>
    <row r="50" spans="2:28" ht="57" customHeight="1">
      <c r="B50" s="1745">
        <v>32</v>
      </c>
      <c r="C50" s="1894" t="s">
        <v>87</v>
      </c>
      <c r="D50" s="1879"/>
      <c r="E50" s="1895"/>
      <c r="F50" s="1895"/>
      <c r="G50" s="1879"/>
      <c r="H50" s="1884"/>
      <c r="I50" s="1886"/>
      <c r="J50" s="1888"/>
      <c r="K50" s="1890"/>
      <c r="L50" s="1784"/>
      <c r="M50" s="1892"/>
      <c r="N50" s="1892"/>
      <c r="O50" s="1879"/>
      <c r="P50" s="1879"/>
      <c r="Q50" s="1879"/>
      <c r="R50" s="1879"/>
      <c r="S50" s="1879"/>
      <c r="T50" s="1879"/>
      <c r="U50" s="1879"/>
      <c r="V50" s="1879"/>
      <c r="W50" s="1894" t="s">
        <v>47</v>
      </c>
      <c r="X50" s="1877"/>
      <c r="Y50" s="1877"/>
      <c r="Z50" s="1897" t="s">
        <v>46</v>
      </c>
      <c r="AA50" s="1877"/>
      <c r="AB50" s="1916" t="s">
        <v>88</v>
      </c>
    </row>
    <row r="51" spans="2:28" ht="14.25" customHeight="1">
      <c r="B51" s="1744"/>
      <c r="C51" s="1873"/>
      <c r="D51" s="1880"/>
      <c r="E51" s="1896"/>
      <c r="F51" s="1896"/>
      <c r="G51" s="1880"/>
      <c r="H51" s="1885"/>
      <c r="I51" s="1887"/>
      <c r="J51" s="1889"/>
      <c r="K51" s="1891"/>
      <c r="L51" s="1783"/>
      <c r="M51" s="1893"/>
      <c r="N51" s="1893"/>
      <c r="O51" s="1880"/>
      <c r="P51" s="1880"/>
      <c r="Q51" s="1880"/>
      <c r="R51" s="1880"/>
      <c r="S51" s="1880"/>
      <c r="T51" s="1880"/>
      <c r="U51" s="1880"/>
      <c r="V51" s="1880"/>
      <c r="W51" s="1873"/>
      <c r="X51" s="1878"/>
      <c r="Y51" s="1878"/>
      <c r="Z51" s="1898"/>
      <c r="AA51" s="1878"/>
      <c r="AB51" s="1898"/>
    </row>
    <row r="53" spans="2:28" ht="106.5" customHeight="1">
      <c r="B53" s="1745">
        <v>33</v>
      </c>
      <c r="C53" s="1894" t="s">
        <v>89</v>
      </c>
      <c r="D53" s="1879"/>
      <c r="E53" s="1895"/>
      <c r="F53" s="1895"/>
      <c r="G53" s="1879"/>
      <c r="H53" s="1884"/>
      <c r="I53" s="1886"/>
      <c r="J53" s="1888"/>
      <c r="K53" s="1890"/>
      <c r="L53" s="1784"/>
      <c r="M53" s="1892"/>
      <c r="N53" s="1892"/>
      <c r="O53" s="1879"/>
      <c r="P53" s="1879"/>
      <c r="Q53" s="1879"/>
      <c r="R53" s="1879"/>
      <c r="S53" s="1879"/>
      <c r="T53" s="1879"/>
      <c r="U53" s="1879"/>
      <c r="V53" s="1879"/>
      <c r="W53" s="1894" t="s">
        <v>83</v>
      </c>
      <c r="X53" s="1877"/>
      <c r="Y53" s="1877"/>
      <c r="Z53" s="1897" t="s">
        <v>42</v>
      </c>
      <c r="AA53" s="1897" t="s">
        <v>46</v>
      </c>
      <c r="AB53" s="1916" t="s">
        <v>83</v>
      </c>
    </row>
    <row r="54" spans="2:28" ht="14.25" customHeight="1">
      <c r="B54" s="1744"/>
      <c r="C54" s="1873"/>
      <c r="D54" s="1880"/>
      <c r="E54" s="1896"/>
      <c r="F54" s="1896"/>
      <c r="G54" s="1880"/>
      <c r="H54" s="1885"/>
      <c r="I54" s="1887"/>
      <c r="J54" s="1889"/>
      <c r="K54" s="1891"/>
      <c r="L54" s="1783"/>
      <c r="M54" s="1893"/>
      <c r="N54" s="1893"/>
      <c r="O54" s="1880"/>
      <c r="P54" s="1880"/>
      <c r="Q54" s="1880"/>
      <c r="R54" s="1880"/>
      <c r="S54" s="1880"/>
      <c r="T54" s="1880"/>
      <c r="U54" s="1880"/>
      <c r="V54" s="1880"/>
      <c r="W54" s="1873"/>
      <c r="X54" s="1878"/>
      <c r="Y54" s="1878"/>
      <c r="Z54" s="1898"/>
      <c r="AA54" s="1898"/>
      <c r="AB54" s="1898"/>
    </row>
    <row r="56" spans="2:28" ht="72" customHeight="1">
      <c r="B56" s="1745">
        <v>34</v>
      </c>
      <c r="C56" s="1894" t="s">
        <v>90</v>
      </c>
      <c r="D56" s="1879"/>
      <c r="E56" s="1895"/>
      <c r="F56" s="1895"/>
      <c r="G56" s="1879"/>
      <c r="H56" s="1884"/>
      <c r="I56" s="1886"/>
      <c r="J56" s="1888"/>
      <c r="K56" s="1890"/>
      <c r="L56" s="1784"/>
      <c r="M56" s="1892"/>
      <c r="N56" s="1892"/>
      <c r="O56" s="1879"/>
      <c r="P56" s="1879"/>
      <c r="Q56" s="1879"/>
      <c r="R56" s="1879"/>
      <c r="S56" s="1879"/>
      <c r="T56" s="1879"/>
      <c r="U56" s="1879"/>
      <c r="V56" s="1879"/>
      <c r="W56" s="1894" t="s">
        <v>91</v>
      </c>
      <c r="X56" s="1877"/>
      <c r="Y56" s="1877"/>
      <c r="Z56" s="1897" t="s">
        <v>92</v>
      </c>
      <c r="AA56" s="1897"/>
      <c r="AB56" s="1897" t="s">
        <v>83</v>
      </c>
    </row>
    <row r="57" spans="2:28" ht="14.25" customHeight="1">
      <c r="B57" s="1744"/>
      <c r="C57" s="1873"/>
      <c r="D57" s="1880"/>
      <c r="E57" s="1896"/>
      <c r="F57" s="1896"/>
      <c r="G57" s="1880"/>
      <c r="H57" s="1885"/>
      <c r="I57" s="1887"/>
      <c r="J57" s="1889"/>
      <c r="K57" s="1891"/>
      <c r="L57" s="1783"/>
      <c r="M57" s="1893"/>
      <c r="N57" s="1893"/>
      <c r="O57" s="1880"/>
      <c r="P57" s="1880"/>
      <c r="Q57" s="1880"/>
      <c r="R57" s="1880"/>
      <c r="S57" s="1880"/>
      <c r="T57" s="1880"/>
      <c r="U57" s="1880"/>
      <c r="V57" s="1880"/>
      <c r="W57" s="1873"/>
      <c r="X57" s="1878"/>
      <c r="Y57" s="1878"/>
      <c r="Z57" s="1898"/>
      <c r="AA57" s="1898"/>
      <c r="AB57" s="1898"/>
    </row>
    <row r="59" spans="2:28" ht="75" customHeight="1">
      <c r="B59" s="1745">
        <v>35</v>
      </c>
      <c r="C59" s="1894" t="s">
        <v>93</v>
      </c>
      <c r="D59" s="1879"/>
      <c r="E59" s="1895"/>
      <c r="F59" s="1895"/>
      <c r="G59" s="1879"/>
      <c r="H59" s="1884"/>
      <c r="I59" s="1886"/>
      <c r="J59" s="1888"/>
      <c r="K59" s="1890"/>
      <c r="L59" s="1784"/>
      <c r="M59" s="1892"/>
      <c r="N59" s="1892"/>
      <c r="O59" s="1879"/>
      <c r="P59" s="1879"/>
      <c r="Q59" s="1879"/>
      <c r="R59" s="1879"/>
      <c r="S59" s="1879"/>
      <c r="T59" s="1879"/>
      <c r="U59" s="1879"/>
      <c r="V59" s="1879"/>
      <c r="W59" s="1879"/>
      <c r="X59" s="1877"/>
      <c r="Y59" s="1877"/>
      <c r="Z59" s="1897" t="s">
        <v>92</v>
      </c>
      <c r="AA59" s="1877"/>
      <c r="AB59" s="1897" t="s">
        <v>83</v>
      </c>
    </row>
    <row r="60" spans="2:28" ht="14.25" customHeight="1">
      <c r="B60" s="1744"/>
      <c r="C60" s="1873"/>
      <c r="D60" s="1880"/>
      <c r="E60" s="1896"/>
      <c r="F60" s="1896"/>
      <c r="G60" s="1880"/>
      <c r="H60" s="1885"/>
      <c r="I60" s="1887"/>
      <c r="J60" s="1889"/>
      <c r="K60" s="1891"/>
      <c r="L60" s="1783"/>
      <c r="M60" s="1893"/>
      <c r="N60" s="1893"/>
      <c r="O60" s="1880"/>
      <c r="P60" s="1880"/>
      <c r="Q60" s="1880"/>
      <c r="R60" s="1880"/>
      <c r="S60" s="1880"/>
      <c r="T60" s="1880"/>
      <c r="U60" s="1880"/>
      <c r="V60" s="1880"/>
      <c r="W60" s="1880"/>
      <c r="X60" s="1878"/>
      <c r="Y60" s="1878"/>
      <c r="Z60" s="1898"/>
      <c r="AA60" s="1878"/>
      <c r="AB60" s="1898"/>
    </row>
    <row r="62" spans="2:28" ht="78.75" customHeight="1">
      <c r="B62" s="1745">
        <v>36</v>
      </c>
      <c r="C62" s="1894" t="s">
        <v>94</v>
      </c>
      <c r="D62" s="1879"/>
      <c r="E62" s="1895"/>
      <c r="F62" s="1895"/>
      <c r="G62" s="1879"/>
      <c r="H62" s="1884"/>
      <c r="I62" s="1886"/>
      <c r="J62" s="1888"/>
      <c r="K62" s="1890"/>
      <c r="L62" s="1784"/>
      <c r="M62" s="1892"/>
      <c r="N62" s="1892"/>
      <c r="O62" s="1879"/>
      <c r="P62" s="1879"/>
      <c r="Q62" s="1879"/>
      <c r="R62" s="1879"/>
      <c r="S62" s="1879"/>
      <c r="T62" s="1879"/>
      <c r="U62" s="1879"/>
      <c r="V62" s="1879"/>
      <c r="W62" s="1879"/>
      <c r="X62" s="1877"/>
      <c r="Y62" s="1877"/>
      <c r="Z62" s="1897" t="s">
        <v>95</v>
      </c>
      <c r="AA62" s="1897" t="s">
        <v>42</v>
      </c>
      <c r="AB62" s="1897" t="s">
        <v>83</v>
      </c>
    </row>
    <row r="63" spans="2:28" ht="14.25" customHeight="1">
      <c r="B63" s="1744"/>
      <c r="C63" s="1873"/>
      <c r="D63" s="1880"/>
      <c r="E63" s="1896"/>
      <c r="F63" s="1896"/>
      <c r="G63" s="1880"/>
      <c r="H63" s="1885"/>
      <c r="I63" s="1887"/>
      <c r="J63" s="1889"/>
      <c r="K63" s="1891"/>
      <c r="L63" s="1783"/>
      <c r="M63" s="1893"/>
      <c r="N63" s="1893"/>
      <c r="O63" s="1880"/>
      <c r="P63" s="1880"/>
      <c r="Q63" s="1880"/>
      <c r="R63" s="1880"/>
      <c r="S63" s="1880"/>
      <c r="T63" s="1880"/>
      <c r="U63" s="1880"/>
      <c r="V63" s="1880"/>
      <c r="W63" s="1880"/>
      <c r="X63" s="1878"/>
      <c r="Y63" s="1878"/>
      <c r="Z63" s="1898"/>
      <c r="AA63" s="1898"/>
      <c r="AB63" s="1898"/>
    </row>
    <row r="65" spans="2:28" ht="79.5" customHeight="1">
      <c r="B65" s="1745">
        <v>37</v>
      </c>
      <c r="C65" s="1894" t="s">
        <v>96</v>
      </c>
      <c r="D65" s="1879"/>
      <c r="E65" s="1895"/>
      <c r="F65" s="1895"/>
      <c r="G65" s="1879"/>
      <c r="H65" s="1884"/>
      <c r="I65" s="1886"/>
      <c r="J65" s="1888"/>
      <c r="K65" s="1890"/>
      <c r="L65" s="1784"/>
      <c r="M65" s="1892"/>
      <c r="N65" s="1892"/>
      <c r="O65" s="1879"/>
      <c r="P65" s="1879"/>
      <c r="Q65" s="1879"/>
      <c r="R65" s="1879"/>
      <c r="S65" s="1879"/>
      <c r="T65" s="1879"/>
      <c r="U65" s="1879"/>
      <c r="V65" s="1879"/>
      <c r="W65" s="1879"/>
      <c r="X65" s="1877"/>
      <c r="Y65" s="1877"/>
      <c r="Z65" s="1897" t="s">
        <v>95</v>
      </c>
      <c r="AA65" s="1897" t="s">
        <v>66</v>
      </c>
      <c r="AB65" s="1916" t="s">
        <v>97</v>
      </c>
    </row>
    <row r="66" spans="2:28" ht="14.25" customHeight="1">
      <c r="B66" s="1744"/>
      <c r="C66" s="1873"/>
      <c r="D66" s="1880"/>
      <c r="E66" s="1896"/>
      <c r="F66" s="1896"/>
      <c r="G66" s="1880"/>
      <c r="H66" s="1885"/>
      <c r="I66" s="1887"/>
      <c r="J66" s="1889"/>
      <c r="K66" s="1891"/>
      <c r="L66" s="1783"/>
      <c r="M66" s="1893"/>
      <c r="N66" s="1893"/>
      <c r="O66" s="1880"/>
      <c r="P66" s="1880"/>
      <c r="Q66" s="1880"/>
      <c r="R66" s="1880"/>
      <c r="S66" s="1880"/>
      <c r="T66" s="1880"/>
      <c r="U66" s="1880"/>
      <c r="V66" s="1880"/>
      <c r="W66" s="1880"/>
      <c r="X66" s="1878"/>
      <c r="Y66" s="1878"/>
      <c r="Z66" s="1898"/>
      <c r="AA66" s="1898"/>
      <c r="AB66" s="1898"/>
    </row>
    <row r="68" spans="2:28" ht="57" customHeight="1">
      <c r="B68" s="1745">
        <v>38</v>
      </c>
      <c r="C68" s="1894" t="s">
        <v>98</v>
      </c>
      <c r="D68" s="1879"/>
      <c r="E68" s="1895"/>
      <c r="F68" s="1895"/>
      <c r="G68" s="1879"/>
      <c r="H68" s="1884"/>
      <c r="I68" s="1886"/>
      <c r="J68" s="1888"/>
      <c r="K68" s="1890"/>
      <c r="L68" s="1784"/>
      <c r="M68" s="1892"/>
      <c r="N68" s="1892"/>
      <c r="O68" s="1879"/>
      <c r="P68" s="1879"/>
      <c r="Q68" s="1879"/>
      <c r="R68" s="1879"/>
      <c r="S68" s="1879"/>
      <c r="T68" s="1879"/>
      <c r="U68" s="1879"/>
      <c r="V68" s="1879"/>
      <c r="W68" s="1879"/>
      <c r="X68" s="1877"/>
      <c r="Y68" s="1877"/>
      <c r="Z68" s="1897" t="s">
        <v>42</v>
      </c>
      <c r="AA68" s="1877"/>
      <c r="AB68" s="1916" t="s">
        <v>99</v>
      </c>
    </row>
    <row r="69" spans="2:28" ht="14.25" customHeight="1">
      <c r="B69" s="1744"/>
      <c r="C69" s="1873"/>
      <c r="D69" s="1880"/>
      <c r="E69" s="1896"/>
      <c r="F69" s="1896"/>
      <c r="G69" s="1880"/>
      <c r="H69" s="1885"/>
      <c r="I69" s="1887"/>
      <c r="J69" s="1889"/>
      <c r="K69" s="1891"/>
      <c r="L69" s="1783"/>
      <c r="M69" s="1893"/>
      <c r="N69" s="1893"/>
      <c r="O69" s="1880"/>
      <c r="P69" s="1880"/>
      <c r="Q69" s="1880"/>
      <c r="R69" s="1880"/>
      <c r="S69" s="1880"/>
      <c r="T69" s="1880"/>
      <c r="U69" s="1880"/>
      <c r="V69" s="1880"/>
      <c r="W69" s="1880"/>
      <c r="X69" s="1878"/>
      <c r="Y69" s="1878"/>
      <c r="Z69" s="1898"/>
      <c r="AA69" s="1878"/>
      <c r="AB69" s="1898"/>
    </row>
    <row r="71" spans="2:28" ht="69.75" customHeight="1">
      <c r="B71" s="1745">
        <v>39</v>
      </c>
      <c r="C71" s="1894" t="s">
        <v>100</v>
      </c>
      <c r="D71" s="1879"/>
      <c r="E71" s="1895"/>
      <c r="F71" s="1895"/>
      <c r="G71" s="1879"/>
      <c r="H71" s="1884"/>
      <c r="I71" s="1886"/>
      <c r="J71" s="1888"/>
      <c r="K71" s="1890"/>
      <c r="L71" s="1784"/>
      <c r="M71" s="1892"/>
      <c r="N71" s="1892"/>
      <c r="O71" s="1879"/>
      <c r="P71" s="1879"/>
      <c r="Q71" s="1879"/>
      <c r="R71" s="1879"/>
      <c r="S71" s="1879"/>
      <c r="T71" s="1879"/>
      <c r="U71" s="1879"/>
      <c r="V71" s="1879"/>
      <c r="W71" s="1879"/>
      <c r="X71" s="1877"/>
      <c r="Y71" s="1877"/>
      <c r="Z71" s="1897" t="s">
        <v>95</v>
      </c>
      <c r="AA71" s="1897" t="s">
        <v>66</v>
      </c>
      <c r="AB71" s="1897" t="s">
        <v>101</v>
      </c>
    </row>
    <row r="72" spans="2:28" ht="14.25" customHeight="1">
      <c r="B72" s="1744"/>
      <c r="C72" s="1873"/>
      <c r="D72" s="1880"/>
      <c r="E72" s="1896"/>
      <c r="F72" s="1896"/>
      <c r="G72" s="1880"/>
      <c r="H72" s="1885"/>
      <c r="I72" s="1887"/>
      <c r="J72" s="1889"/>
      <c r="K72" s="1891"/>
      <c r="L72" s="1783"/>
      <c r="M72" s="1893"/>
      <c r="N72" s="1893"/>
      <c r="O72" s="1880"/>
      <c r="P72" s="1880"/>
      <c r="Q72" s="1880"/>
      <c r="R72" s="1880"/>
      <c r="S72" s="1880"/>
      <c r="T72" s="1880"/>
      <c r="U72" s="1880"/>
      <c r="V72" s="1880"/>
      <c r="W72" s="1880"/>
      <c r="X72" s="1878"/>
      <c r="Y72" s="1878"/>
      <c r="Z72" s="1898"/>
      <c r="AA72" s="1898"/>
      <c r="AB72" s="1898"/>
    </row>
    <row r="74" spans="2:28" ht="57" customHeight="1">
      <c r="B74" s="1745">
        <v>40</v>
      </c>
      <c r="C74" s="1894" t="s">
        <v>102</v>
      </c>
      <c r="D74" s="1879"/>
      <c r="E74" s="1895"/>
      <c r="F74" s="1895"/>
      <c r="G74" s="1879"/>
      <c r="H74" s="1884"/>
      <c r="I74" s="1886"/>
      <c r="J74" s="1888"/>
      <c r="K74" s="1890"/>
      <c r="L74" s="1784"/>
      <c r="M74" s="1892"/>
      <c r="N74" s="1892"/>
      <c r="O74" s="1879"/>
      <c r="P74" s="1879"/>
      <c r="Q74" s="1879"/>
      <c r="R74" s="1879"/>
      <c r="S74" s="1879"/>
      <c r="T74" s="1879"/>
      <c r="U74" s="1879"/>
      <c r="V74" s="1879"/>
      <c r="W74" s="1879"/>
      <c r="X74" s="1877"/>
      <c r="Y74" s="1877"/>
      <c r="Z74" s="1897" t="s">
        <v>95</v>
      </c>
      <c r="AA74" s="1897" t="s">
        <v>66</v>
      </c>
      <c r="AB74" s="1916" t="s">
        <v>97</v>
      </c>
    </row>
    <row r="75" spans="2:28" ht="14.25" customHeight="1">
      <c r="B75" s="1744"/>
      <c r="C75" s="1873"/>
      <c r="D75" s="1880"/>
      <c r="E75" s="1896"/>
      <c r="F75" s="1896"/>
      <c r="G75" s="1880"/>
      <c r="H75" s="1885"/>
      <c r="I75" s="1887"/>
      <c r="J75" s="1889"/>
      <c r="K75" s="1891"/>
      <c r="L75" s="1783"/>
      <c r="M75" s="1893"/>
      <c r="N75" s="1893"/>
      <c r="O75" s="1880"/>
      <c r="P75" s="1880"/>
      <c r="Q75" s="1880"/>
      <c r="R75" s="1880"/>
      <c r="S75" s="1880"/>
      <c r="T75" s="1880"/>
      <c r="U75" s="1880"/>
      <c r="V75" s="1880"/>
      <c r="W75" s="1880"/>
      <c r="X75" s="1878"/>
      <c r="Y75" s="1878"/>
      <c r="Z75" s="1898"/>
      <c r="AA75" s="1898"/>
      <c r="AB75" s="1898"/>
    </row>
    <row r="77" spans="2:28" ht="67.5" customHeight="1">
      <c r="B77" s="1745">
        <v>41</v>
      </c>
      <c r="C77" s="1894" t="s">
        <v>103</v>
      </c>
      <c r="D77" s="1879"/>
      <c r="E77" s="1895"/>
      <c r="F77" s="1895"/>
      <c r="G77" s="1879"/>
      <c r="H77" s="1884"/>
      <c r="I77" s="1886"/>
      <c r="J77" s="1888"/>
      <c r="K77" s="1890"/>
      <c r="L77" s="1784"/>
      <c r="M77" s="1892"/>
      <c r="N77" s="1892"/>
      <c r="O77" s="1879"/>
      <c r="P77" s="1879"/>
      <c r="Q77" s="1879"/>
      <c r="R77" s="1879"/>
      <c r="S77" s="1879"/>
      <c r="T77" s="1879"/>
      <c r="U77" s="1879"/>
      <c r="V77" s="1879"/>
      <c r="W77" s="1879"/>
      <c r="X77" s="1877"/>
      <c r="Y77" s="1877"/>
      <c r="Z77" s="1897" t="s">
        <v>95</v>
      </c>
      <c r="AA77" s="1897" t="s">
        <v>66</v>
      </c>
      <c r="AB77" s="1897" t="s">
        <v>101</v>
      </c>
    </row>
    <row r="78" spans="2:28" ht="14.25" customHeight="1">
      <c r="B78" s="1744"/>
      <c r="C78" s="1873"/>
      <c r="D78" s="1880"/>
      <c r="E78" s="1896"/>
      <c r="F78" s="1896"/>
      <c r="G78" s="1880"/>
      <c r="H78" s="1885"/>
      <c r="I78" s="1887"/>
      <c r="J78" s="1889"/>
      <c r="K78" s="1891"/>
      <c r="L78" s="1783"/>
      <c r="M78" s="1893"/>
      <c r="N78" s="1893"/>
      <c r="O78" s="1880"/>
      <c r="P78" s="1880"/>
      <c r="Q78" s="1880"/>
      <c r="R78" s="1880"/>
      <c r="S78" s="1880"/>
      <c r="T78" s="1880"/>
      <c r="U78" s="1880"/>
      <c r="V78" s="1880"/>
      <c r="W78" s="1880"/>
      <c r="X78" s="1878"/>
      <c r="Y78" s="1878"/>
      <c r="Z78" s="1898"/>
      <c r="AA78" s="1898"/>
      <c r="AB78" s="1898"/>
    </row>
    <row r="80" spans="2:28" ht="63.75" customHeight="1">
      <c r="B80" s="1745">
        <v>42</v>
      </c>
      <c r="C80" s="1894" t="s">
        <v>104</v>
      </c>
      <c r="D80" s="1879"/>
      <c r="E80" s="1895"/>
      <c r="F80" s="1895"/>
      <c r="G80" s="1879"/>
      <c r="H80" s="1884"/>
      <c r="I80" s="1886"/>
      <c r="J80" s="1888"/>
      <c r="K80" s="1890"/>
      <c r="L80" s="1784"/>
      <c r="M80" s="1892"/>
      <c r="N80" s="1892"/>
      <c r="O80" s="1879"/>
      <c r="P80" s="1879"/>
      <c r="Q80" s="1879"/>
      <c r="R80" s="1879"/>
      <c r="S80" s="1879"/>
      <c r="T80" s="1879"/>
      <c r="U80" s="1879"/>
      <c r="V80" s="1879"/>
      <c r="W80" s="1879"/>
      <c r="X80" s="1877"/>
      <c r="Y80" s="1877"/>
      <c r="Z80" s="1897" t="s">
        <v>95</v>
      </c>
      <c r="AA80" s="1897" t="s">
        <v>66</v>
      </c>
      <c r="AB80" s="1916" t="s">
        <v>97</v>
      </c>
    </row>
    <row r="81" spans="2:28" ht="14.25" customHeight="1">
      <c r="B81" s="1744"/>
      <c r="C81" s="1873"/>
      <c r="D81" s="1880"/>
      <c r="E81" s="1896"/>
      <c r="F81" s="1896"/>
      <c r="G81" s="1880"/>
      <c r="H81" s="1885"/>
      <c r="I81" s="1887"/>
      <c r="J81" s="1889"/>
      <c r="K81" s="1891"/>
      <c r="L81" s="1783"/>
      <c r="M81" s="1893"/>
      <c r="N81" s="1893"/>
      <c r="O81" s="1880"/>
      <c r="P81" s="1880"/>
      <c r="Q81" s="1880"/>
      <c r="R81" s="1880"/>
      <c r="S81" s="1880"/>
      <c r="T81" s="1880"/>
      <c r="U81" s="1880"/>
      <c r="V81" s="1880"/>
      <c r="W81" s="1880"/>
      <c r="X81" s="1878"/>
      <c r="Y81" s="1878"/>
      <c r="Z81" s="1898"/>
      <c r="AA81" s="1898"/>
      <c r="AB81" s="1898"/>
    </row>
    <row r="83" spans="2:28" ht="57" customHeight="1">
      <c r="B83" s="1745">
        <v>43</v>
      </c>
      <c r="C83" s="1894" t="s">
        <v>105</v>
      </c>
      <c r="D83" s="1879"/>
      <c r="E83" s="1895"/>
      <c r="F83" s="1895"/>
      <c r="G83" s="1879"/>
      <c r="H83" s="1884"/>
      <c r="I83" s="1886"/>
      <c r="J83" s="1888"/>
      <c r="K83" s="1890"/>
      <c r="L83" s="1784"/>
      <c r="M83" s="1892"/>
      <c r="N83" s="1892"/>
      <c r="O83" s="1879"/>
      <c r="P83" s="1879"/>
      <c r="Q83" s="1879"/>
      <c r="R83" s="1879"/>
      <c r="S83" s="1879"/>
      <c r="T83" s="1879"/>
      <c r="U83" s="1879"/>
      <c r="V83" s="1879"/>
      <c r="W83" s="1879"/>
      <c r="X83" s="1877"/>
      <c r="Y83" s="1877"/>
      <c r="Z83" s="1897" t="s">
        <v>95</v>
      </c>
      <c r="AA83" s="1897"/>
      <c r="AB83" s="1916" t="s">
        <v>67</v>
      </c>
    </row>
    <row r="84" spans="2:28" ht="14.25" customHeight="1">
      <c r="B84" s="1744"/>
      <c r="C84" s="1873"/>
      <c r="D84" s="1880"/>
      <c r="E84" s="1896"/>
      <c r="F84" s="1896"/>
      <c r="G84" s="1880"/>
      <c r="H84" s="1885"/>
      <c r="I84" s="1887"/>
      <c r="J84" s="1889"/>
      <c r="K84" s="1891"/>
      <c r="L84" s="1783"/>
      <c r="M84" s="1893"/>
      <c r="N84" s="1893"/>
      <c r="O84" s="1880"/>
      <c r="P84" s="1880"/>
      <c r="Q84" s="1880"/>
      <c r="R84" s="1880"/>
      <c r="S84" s="1880"/>
      <c r="T84" s="1880"/>
      <c r="U84" s="1880"/>
      <c r="V84" s="1880"/>
      <c r="W84" s="1880"/>
      <c r="X84" s="1878"/>
      <c r="Y84" s="1878"/>
      <c r="Z84" s="1898"/>
      <c r="AA84" s="1898"/>
      <c r="AB84" s="1898"/>
    </row>
    <row r="86" spans="2:28" ht="57" customHeight="1">
      <c r="B86" s="1745">
        <v>44</v>
      </c>
      <c r="C86" s="1894"/>
      <c r="D86" s="1879"/>
      <c r="E86" s="1895"/>
      <c r="F86" s="1895"/>
      <c r="G86" s="1879"/>
      <c r="H86" s="1884"/>
      <c r="I86" s="1886"/>
      <c r="J86" s="1888"/>
      <c r="K86" s="1890"/>
      <c r="L86" s="1784"/>
      <c r="M86" s="1892"/>
      <c r="N86" s="1892"/>
      <c r="O86" s="1879"/>
      <c r="P86" s="1879"/>
      <c r="Q86" s="1879"/>
      <c r="R86" s="1879"/>
      <c r="S86" s="1879"/>
      <c r="T86" s="1879"/>
      <c r="U86" s="1879"/>
      <c r="V86" s="1879"/>
      <c r="W86" s="1879"/>
      <c r="X86" s="1877"/>
      <c r="Y86" s="1877"/>
      <c r="Z86" s="1897" t="s">
        <v>65</v>
      </c>
      <c r="AA86" s="1877"/>
      <c r="AB86" s="1916" t="s">
        <v>106</v>
      </c>
    </row>
    <row r="87" spans="2:28" ht="14.25" customHeight="1">
      <c r="B87" s="1744"/>
      <c r="C87" s="1873"/>
      <c r="D87" s="1880"/>
      <c r="E87" s="1896"/>
      <c r="F87" s="1896"/>
      <c r="G87" s="1880"/>
      <c r="H87" s="1885"/>
      <c r="I87" s="1887"/>
      <c r="J87" s="1889"/>
      <c r="K87" s="1891"/>
      <c r="L87" s="1783"/>
      <c r="M87" s="1893"/>
      <c r="N87" s="1893"/>
      <c r="O87" s="1880"/>
      <c r="P87" s="1880"/>
      <c r="Q87" s="1880"/>
      <c r="R87" s="1880"/>
      <c r="S87" s="1880"/>
      <c r="T87" s="1880"/>
      <c r="U87" s="1880"/>
      <c r="V87" s="1880"/>
      <c r="W87" s="1880"/>
      <c r="X87" s="1878"/>
      <c r="Y87" s="1878"/>
      <c r="Z87" s="1898"/>
      <c r="AA87" s="1878"/>
      <c r="AB87" s="1898"/>
    </row>
    <row r="89" spans="2:28" ht="57" customHeight="1">
      <c r="B89" s="1745">
        <v>45</v>
      </c>
      <c r="C89" s="1894"/>
      <c r="D89" s="1894"/>
      <c r="E89" s="1905"/>
      <c r="F89" s="1905"/>
      <c r="G89" s="1894"/>
      <c r="H89" s="1917"/>
      <c r="I89" s="1919"/>
      <c r="J89" s="1921"/>
      <c r="K89" s="1899"/>
      <c r="L89" s="1784"/>
      <c r="M89" s="1923"/>
      <c r="N89" s="1923"/>
      <c r="O89" s="1894"/>
      <c r="P89" s="1894"/>
      <c r="Q89" s="1894"/>
      <c r="R89" s="1894"/>
      <c r="S89" s="1894"/>
      <c r="T89" s="1894"/>
      <c r="U89" s="1894"/>
      <c r="V89" s="1894"/>
      <c r="W89" s="1894"/>
      <c r="X89" s="1897"/>
      <c r="Y89" s="1897"/>
      <c r="Z89" s="1897" t="s">
        <v>65</v>
      </c>
      <c r="AA89" s="1897"/>
      <c r="AB89" s="1897" t="s">
        <v>107</v>
      </c>
    </row>
    <row r="90" spans="2:28" ht="14.25" customHeight="1">
      <c r="B90" s="1744"/>
      <c r="C90" s="1873"/>
      <c r="D90" s="1873"/>
      <c r="E90" s="1906"/>
      <c r="F90" s="1906"/>
      <c r="G90" s="1873"/>
      <c r="H90" s="1918"/>
      <c r="I90" s="1920"/>
      <c r="J90" s="1922"/>
      <c r="K90" s="1900"/>
      <c r="L90" s="1783"/>
      <c r="M90" s="1924"/>
      <c r="N90" s="1924"/>
      <c r="O90" s="1873"/>
      <c r="P90" s="1873"/>
      <c r="Q90" s="1873"/>
      <c r="R90" s="1873"/>
      <c r="S90" s="1873"/>
      <c r="T90" s="1873"/>
      <c r="U90" s="1873"/>
      <c r="V90" s="1873"/>
      <c r="W90" s="1873"/>
      <c r="X90" s="1898"/>
      <c r="Y90" s="1898"/>
      <c r="Z90" s="1898"/>
      <c r="AA90" s="1898"/>
      <c r="AB90" s="1898"/>
    </row>
    <row r="92" spans="2:28" ht="57" customHeight="1">
      <c r="B92" s="1745">
        <v>46</v>
      </c>
      <c r="C92" s="1894" t="s">
        <v>108</v>
      </c>
      <c r="D92" s="1879"/>
      <c r="E92" s="1895"/>
      <c r="F92" s="1895"/>
      <c r="G92" s="1879"/>
      <c r="H92" s="1884"/>
      <c r="I92" s="1886"/>
      <c r="J92" s="1888"/>
      <c r="K92" s="1890"/>
      <c r="L92" s="1784"/>
      <c r="M92" s="1892"/>
      <c r="N92" s="1892"/>
      <c r="O92" s="1879"/>
      <c r="P92" s="1879"/>
      <c r="Q92" s="1879"/>
      <c r="R92" s="1879"/>
      <c r="S92" s="1879"/>
      <c r="T92" s="1879"/>
      <c r="U92" s="1879"/>
      <c r="V92" s="1879"/>
      <c r="W92" s="1879"/>
      <c r="X92" s="1877"/>
      <c r="Y92" s="1877"/>
      <c r="Z92" s="1897" t="s">
        <v>46</v>
      </c>
      <c r="AA92" s="1877"/>
      <c r="AB92" s="1897" t="s">
        <v>109</v>
      </c>
    </row>
    <row r="93" spans="2:28" ht="14.25" customHeight="1">
      <c r="B93" s="1744"/>
      <c r="C93" s="1873"/>
      <c r="D93" s="1880"/>
      <c r="E93" s="1896"/>
      <c r="F93" s="1896"/>
      <c r="G93" s="1880"/>
      <c r="H93" s="1885"/>
      <c r="I93" s="1887"/>
      <c r="J93" s="1889"/>
      <c r="K93" s="1891"/>
      <c r="L93" s="1783"/>
      <c r="M93" s="1893"/>
      <c r="N93" s="1893"/>
      <c r="O93" s="1880"/>
      <c r="P93" s="1880"/>
      <c r="Q93" s="1880"/>
      <c r="R93" s="1880"/>
      <c r="S93" s="1880"/>
      <c r="T93" s="1880"/>
      <c r="U93" s="1880"/>
      <c r="V93" s="1880"/>
      <c r="W93" s="1880"/>
      <c r="X93" s="1878"/>
      <c r="Y93" s="1878"/>
      <c r="Z93" s="1898"/>
      <c r="AA93" s="1878"/>
      <c r="AB93" s="1898"/>
    </row>
    <row r="95" spans="2:28" ht="57" customHeight="1">
      <c r="B95" s="1745">
        <v>47</v>
      </c>
      <c r="C95" s="1894" t="s">
        <v>110</v>
      </c>
      <c r="D95" s="1879"/>
      <c r="E95" s="1895"/>
      <c r="F95" s="1895"/>
      <c r="G95" s="1879"/>
      <c r="H95" s="1884"/>
      <c r="I95" s="1886"/>
      <c r="J95" s="1888"/>
      <c r="K95" s="1890"/>
      <c r="L95" s="1784"/>
      <c r="M95" s="1892"/>
      <c r="N95" s="1892"/>
      <c r="O95" s="1879"/>
      <c r="P95" s="1879"/>
      <c r="Q95" s="1879"/>
      <c r="R95" s="1879"/>
      <c r="S95" s="1879"/>
      <c r="T95" s="1879"/>
      <c r="U95" s="1879"/>
      <c r="V95" s="1879"/>
      <c r="W95" s="1879"/>
      <c r="X95" s="1877"/>
      <c r="Y95" s="1877"/>
      <c r="Z95" s="1897" t="s">
        <v>86</v>
      </c>
      <c r="AA95" s="1877"/>
      <c r="AB95" s="1897" t="s">
        <v>111</v>
      </c>
    </row>
    <row r="96" spans="2:28" ht="14.25" customHeight="1">
      <c r="B96" s="1744"/>
      <c r="C96" s="1873"/>
      <c r="D96" s="1880"/>
      <c r="E96" s="1896"/>
      <c r="F96" s="1896"/>
      <c r="G96" s="1880"/>
      <c r="H96" s="1885"/>
      <c r="I96" s="1887"/>
      <c r="J96" s="1889"/>
      <c r="K96" s="1891"/>
      <c r="L96" s="1783"/>
      <c r="M96" s="1893"/>
      <c r="N96" s="1893"/>
      <c r="O96" s="1880"/>
      <c r="P96" s="1880"/>
      <c r="Q96" s="1880"/>
      <c r="R96" s="1880"/>
      <c r="S96" s="1880"/>
      <c r="T96" s="1880"/>
      <c r="U96" s="1880"/>
      <c r="V96" s="1880"/>
      <c r="W96" s="1880"/>
      <c r="X96" s="1878"/>
      <c r="Y96" s="1878"/>
      <c r="Z96" s="1898"/>
      <c r="AA96" s="1878"/>
      <c r="AB96" s="1898"/>
    </row>
    <row r="98" spans="2:28" ht="57" customHeight="1">
      <c r="B98" s="1745">
        <v>48</v>
      </c>
      <c r="C98" s="1879"/>
      <c r="D98" s="1879"/>
      <c r="E98" s="1895"/>
      <c r="F98" s="1895"/>
      <c r="G98" s="1879"/>
      <c r="H98" s="1884"/>
      <c r="I98" s="1886"/>
      <c r="J98" s="1888"/>
      <c r="K98" s="1890"/>
      <c r="L98" s="1784"/>
      <c r="M98" s="1892"/>
      <c r="N98" s="1892"/>
      <c r="O98" s="1879"/>
      <c r="P98" s="1879"/>
      <c r="Q98" s="1879"/>
      <c r="R98" s="1879"/>
      <c r="S98" s="1879"/>
      <c r="T98" s="1879"/>
      <c r="U98" s="1879"/>
      <c r="V98" s="1879"/>
      <c r="W98" s="1879"/>
      <c r="X98" s="1877"/>
      <c r="Y98" s="1877"/>
      <c r="Z98" s="1877"/>
      <c r="AA98" s="1877"/>
      <c r="AB98" s="1877"/>
    </row>
    <row r="99" spans="2:28" ht="14.25" customHeight="1">
      <c r="B99" s="1744"/>
      <c r="C99" s="1880"/>
      <c r="D99" s="1880"/>
      <c r="E99" s="1896"/>
      <c r="F99" s="1896"/>
      <c r="G99" s="1880"/>
      <c r="H99" s="1885"/>
      <c r="I99" s="1887"/>
      <c r="J99" s="1889"/>
      <c r="K99" s="1891"/>
      <c r="L99" s="1783"/>
      <c r="M99" s="1893"/>
      <c r="N99" s="1893"/>
      <c r="O99" s="1880"/>
      <c r="P99" s="1880"/>
      <c r="Q99" s="1880"/>
      <c r="R99" s="1880"/>
      <c r="S99" s="1880"/>
      <c r="T99" s="1880"/>
      <c r="U99" s="1880"/>
      <c r="V99" s="1880"/>
      <c r="W99" s="1880"/>
      <c r="X99" s="1878"/>
      <c r="Y99" s="1878"/>
      <c r="Z99" s="1878"/>
      <c r="AA99" s="1878"/>
      <c r="AB99" s="1878"/>
    </row>
  </sheetData>
  <mergeCells count="893">
    <mergeCell ref="V98:V99"/>
    <mergeCell ref="W98:W99"/>
    <mergeCell ref="X98:X99"/>
    <mergeCell ref="Y98:Y99"/>
    <mergeCell ref="Z98:Z99"/>
    <mergeCell ref="AA98:AA99"/>
    <mergeCell ref="AB98:AB99"/>
    <mergeCell ref="M98:M99"/>
    <mergeCell ref="N98:N99"/>
    <mergeCell ref="O98:O99"/>
    <mergeCell ref="P98:P99"/>
    <mergeCell ref="Q98:Q99"/>
    <mergeCell ref="R98:R99"/>
    <mergeCell ref="S98:S99"/>
    <mergeCell ref="T98:T99"/>
    <mergeCell ref="U98:U99"/>
    <mergeCell ref="C98:C99"/>
    <mergeCell ref="D98:D99"/>
    <mergeCell ref="E98:E99"/>
    <mergeCell ref="F98:F99"/>
    <mergeCell ref="G98:G99"/>
    <mergeCell ref="H98:H99"/>
    <mergeCell ref="I98:I99"/>
    <mergeCell ref="J98:J99"/>
    <mergeCell ref="K98:K99"/>
    <mergeCell ref="T95:T96"/>
    <mergeCell ref="U95:U96"/>
    <mergeCell ref="V95:V96"/>
    <mergeCell ref="W95:W96"/>
    <mergeCell ref="X95:X96"/>
    <mergeCell ref="Y95:Y96"/>
    <mergeCell ref="Z95:Z96"/>
    <mergeCell ref="AA95:AA96"/>
    <mergeCell ref="AB95:AB96"/>
    <mergeCell ref="U92:U93"/>
    <mergeCell ref="V92:V93"/>
    <mergeCell ref="W92:W93"/>
    <mergeCell ref="X92:X93"/>
    <mergeCell ref="Y92:Y93"/>
    <mergeCell ref="Z92:Z93"/>
    <mergeCell ref="AA92:AA93"/>
    <mergeCell ref="AB92:AB93"/>
    <mergeCell ref="C95:C96"/>
    <mergeCell ref="D95:D96"/>
    <mergeCell ref="E95:E96"/>
    <mergeCell ref="F95:F96"/>
    <mergeCell ref="G95:G96"/>
    <mergeCell ref="H95:H96"/>
    <mergeCell ref="I95:I96"/>
    <mergeCell ref="J95:J96"/>
    <mergeCell ref="K95:K96"/>
    <mergeCell ref="M95:M96"/>
    <mergeCell ref="N95:N96"/>
    <mergeCell ref="O95:O96"/>
    <mergeCell ref="P95:P96"/>
    <mergeCell ref="Q95:Q96"/>
    <mergeCell ref="R95:R96"/>
    <mergeCell ref="S95:S96"/>
    <mergeCell ref="V89:V90"/>
    <mergeCell ref="W89:W90"/>
    <mergeCell ref="X89:X90"/>
    <mergeCell ref="Y89:Y90"/>
    <mergeCell ref="Z89:Z90"/>
    <mergeCell ref="AA89:AA90"/>
    <mergeCell ref="AB89:AB90"/>
    <mergeCell ref="C92:C93"/>
    <mergeCell ref="D92:D93"/>
    <mergeCell ref="E92:E93"/>
    <mergeCell ref="F92:F93"/>
    <mergeCell ref="G92:G93"/>
    <mergeCell ref="H92:H93"/>
    <mergeCell ref="I92:I93"/>
    <mergeCell ref="J92:J93"/>
    <mergeCell ref="K92:K93"/>
    <mergeCell ref="M92:M93"/>
    <mergeCell ref="N92:N93"/>
    <mergeCell ref="O92:O93"/>
    <mergeCell ref="P92:P93"/>
    <mergeCell ref="Q92:Q93"/>
    <mergeCell ref="R92:R93"/>
    <mergeCell ref="S92:S93"/>
    <mergeCell ref="T92:T93"/>
    <mergeCell ref="M89:M90"/>
    <mergeCell ref="N89:N90"/>
    <mergeCell ref="O89:O90"/>
    <mergeCell ref="P89:P90"/>
    <mergeCell ref="Q89:Q90"/>
    <mergeCell ref="R89:R90"/>
    <mergeCell ref="S89:S90"/>
    <mergeCell ref="T89:T90"/>
    <mergeCell ref="U89:U90"/>
    <mergeCell ref="C89:C90"/>
    <mergeCell ref="D89:D90"/>
    <mergeCell ref="E89:E90"/>
    <mergeCell ref="F89:F90"/>
    <mergeCell ref="G89:G90"/>
    <mergeCell ref="H89:H90"/>
    <mergeCell ref="I89:I90"/>
    <mergeCell ref="J89:J90"/>
    <mergeCell ref="K89:K90"/>
    <mergeCell ref="T86:T87"/>
    <mergeCell ref="U86:U87"/>
    <mergeCell ref="V86:V87"/>
    <mergeCell ref="W86:W87"/>
    <mergeCell ref="X86:X87"/>
    <mergeCell ref="Y86:Y87"/>
    <mergeCell ref="Z86:Z87"/>
    <mergeCell ref="AA86:AA87"/>
    <mergeCell ref="AB86:AB87"/>
    <mergeCell ref="U83:U84"/>
    <mergeCell ref="V83:V84"/>
    <mergeCell ref="W83:W84"/>
    <mergeCell ref="X83:X84"/>
    <mergeCell ref="Y83:Y84"/>
    <mergeCell ref="Z83:Z84"/>
    <mergeCell ref="AA83:AA84"/>
    <mergeCell ref="AB83:AB84"/>
    <mergeCell ref="C86:C87"/>
    <mergeCell ref="D86:D87"/>
    <mergeCell ref="E86:E87"/>
    <mergeCell ref="F86:F87"/>
    <mergeCell ref="G86:G87"/>
    <mergeCell ref="H86:H87"/>
    <mergeCell ref="I86:I87"/>
    <mergeCell ref="J86:J87"/>
    <mergeCell ref="K86:K87"/>
    <mergeCell ref="M86:M87"/>
    <mergeCell ref="N86:N87"/>
    <mergeCell ref="O86:O87"/>
    <mergeCell ref="P86:P87"/>
    <mergeCell ref="Q86:Q87"/>
    <mergeCell ref="R86:R87"/>
    <mergeCell ref="S86:S87"/>
    <mergeCell ref="V80:V81"/>
    <mergeCell ref="W80:W81"/>
    <mergeCell ref="X80:X81"/>
    <mergeCell ref="Y80:Y81"/>
    <mergeCell ref="Z80:Z81"/>
    <mergeCell ref="AA80:AA81"/>
    <mergeCell ref="AB80:AB81"/>
    <mergeCell ref="C83:C84"/>
    <mergeCell ref="D83:D84"/>
    <mergeCell ref="E83:E84"/>
    <mergeCell ref="F83:F84"/>
    <mergeCell ref="G83:G84"/>
    <mergeCell ref="H83:H84"/>
    <mergeCell ref="I83:I84"/>
    <mergeCell ref="J83:J84"/>
    <mergeCell ref="K83:K84"/>
    <mergeCell ref="M83:M84"/>
    <mergeCell ref="N83:N84"/>
    <mergeCell ref="O83:O84"/>
    <mergeCell ref="P83:P84"/>
    <mergeCell ref="Q83:Q84"/>
    <mergeCell ref="R83:R84"/>
    <mergeCell ref="S83:S84"/>
    <mergeCell ref="T83:T84"/>
    <mergeCell ref="M80:M81"/>
    <mergeCell ref="N80:N81"/>
    <mergeCell ref="O80:O81"/>
    <mergeCell ref="P80:P81"/>
    <mergeCell ref="Q80:Q81"/>
    <mergeCell ref="R80:R81"/>
    <mergeCell ref="S80:S81"/>
    <mergeCell ref="T80:T81"/>
    <mergeCell ref="U80:U81"/>
    <mergeCell ref="C80:C81"/>
    <mergeCell ref="D80:D81"/>
    <mergeCell ref="E80:E81"/>
    <mergeCell ref="F80:F81"/>
    <mergeCell ref="G80:G81"/>
    <mergeCell ref="H80:H81"/>
    <mergeCell ref="I80:I81"/>
    <mergeCell ref="J80:J81"/>
    <mergeCell ref="K80:K81"/>
    <mergeCell ref="T77:T78"/>
    <mergeCell ref="U77:U78"/>
    <mergeCell ref="V77:V78"/>
    <mergeCell ref="W77:W78"/>
    <mergeCell ref="X77:X78"/>
    <mergeCell ref="Y77:Y78"/>
    <mergeCell ref="Z77:Z78"/>
    <mergeCell ref="AA77:AA78"/>
    <mergeCell ref="AB77:AB78"/>
    <mergeCell ref="U74:U75"/>
    <mergeCell ref="V74:V75"/>
    <mergeCell ref="W74:W75"/>
    <mergeCell ref="X74:X75"/>
    <mergeCell ref="Y74:Y75"/>
    <mergeCell ref="Z74:Z75"/>
    <mergeCell ref="AA74:AA75"/>
    <mergeCell ref="AB74:AB75"/>
    <mergeCell ref="C77:C78"/>
    <mergeCell ref="D77:D78"/>
    <mergeCell ref="E77:E78"/>
    <mergeCell ref="F77:F78"/>
    <mergeCell ref="G77:G78"/>
    <mergeCell ref="H77:H78"/>
    <mergeCell ref="I77:I78"/>
    <mergeCell ref="J77:J78"/>
    <mergeCell ref="K77:K78"/>
    <mergeCell ref="M77:M78"/>
    <mergeCell ref="N77:N78"/>
    <mergeCell ref="O77:O78"/>
    <mergeCell ref="P77:P78"/>
    <mergeCell ref="Q77:Q78"/>
    <mergeCell ref="R77:R78"/>
    <mergeCell ref="S77:S78"/>
    <mergeCell ref="V71:V72"/>
    <mergeCell ref="W71:W72"/>
    <mergeCell ref="X71:X72"/>
    <mergeCell ref="Y71:Y72"/>
    <mergeCell ref="Z71:Z72"/>
    <mergeCell ref="AA71:AA72"/>
    <mergeCell ref="AB71:AB72"/>
    <mergeCell ref="C74:C75"/>
    <mergeCell ref="D74:D75"/>
    <mergeCell ref="E74:E75"/>
    <mergeCell ref="F74:F75"/>
    <mergeCell ref="G74:G75"/>
    <mergeCell ref="H74:H75"/>
    <mergeCell ref="I74:I75"/>
    <mergeCell ref="J74:J75"/>
    <mergeCell ref="K74:K75"/>
    <mergeCell ref="M74:M75"/>
    <mergeCell ref="N74:N75"/>
    <mergeCell ref="O74:O75"/>
    <mergeCell ref="P74:P75"/>
    <mergeCell ref="Q74:Q75"/>
    <mergeCell ref="R74:R75"/>
    <mergeCell ref="S74:S75"/>
    <mergeCell ref="T74:T75"/>
    <mergeCell ref="M71:M72"/>
    <mergeCell ref="N71:N72"/>
    <mergeCell ref="O71:O72"/>
    <mergeCell ref="P71:P72"/>
    <mergeCell ref="Q71:Q72"/>
    <mergeCell ref="R71:R72"/>
    <mergeCell ref="S71:S72"/>
    <mergeCell ref="T71:T72"/>
    <mergeCell ref="U71:U72"/>
    <mergeCell ref="C71:C72"/>
    <mergeCell ref="D71:D72"/>
    <mergeCell ref="E71:E72"/>
    <mergeCell ref="F71:F72"/>
    <mergeCell ref="G71:G72"/>
    <mergeCell ref="H71:H72"/>
    <mergeCell ref="I71:I72"/>
    <mergeCell ref="J71:J72"/>
    <mergeCell ref="K71:K72"/>
    <mergeCell ref="T68:T69"/>
    <mergeCell ref="U68:U69"/>
    <mergeCell ref="V68:V69"/>
    <mergeCell ref="W68:W69"/>
    <mergeCell ref="X68:X69"/>
    <mergeCell ref="Y68:Y69"/>
    <mergeCell ref="Z68:Z69"/>
    <mergeCell ref="AA68:AA69"/>
    <mergeCell ref="AB68:AB69"/>
    <mergeCell ref="U65:U66"/>
    <mergeCell ref="V65:V66"/>
    <mergeCell ref="W65:W66"/>
    <mergeCell ref="X65:X66"/>
    <mergeCell ref="Y65:Y66"/>
    <mergeCell ref="Z65:Z66"/>
    <mergeCell ref="AA65:AA66"/>
    <mergeCell ref="AB65:AB66"/>
    <mergeCell ref="C68:C69"/>
    <mergeCell ref="D68:D69"/>
    <mergeCell ref="E68:E69"/>
    <mergeCell ref="F68:F69"/>
    <mergeCell ref="G68:G69"/>
    <mergeCell ref="H68:H69"/>
    <mergeCell ref="I68:I69"/>
    <mergeCell ref="J68:J69"/>
    <mergeCell ref="K68:K69"/>
    <mergeCell ref="M68:M69"/>
    <mergeCell ref="N68:N69"/>
    <mergeCell ref="O68:O69"/>
    <mergeCell ref="P68:P69"/>
    <mergeCell ref="Q68:Q69"/>
    <mergeCell ref="R68:R69"/>
    <mergeCell ref="S68:S69"/>
    <mergeCell ref="V62:V63"/>
    <mergeCell ref="W62:W63"/>
    <mergeCell ref="X62:X63"/>
    <mergeCell ref="Y62:Y63"/>
    <mergeCell ref="Z62:Z63"/>
    <mergeCell ref="AA62:AA63"/>
    <mergeCell ref="AB62:AB63"/>
    <mergeCell ref="C65:C66"/>
    <mergeCell ref="D65:D66"/>
    <mergeCell ref="E65:E66"/>
    <mergeCell ref="F65:F66"/>
    <mergeCell ref="G65:G66"/>
    <mergeCell ref="H65:H66"/>
    <mergeCell ref="I65:I66"/>
    <mergeCell ref="J65:J66"/>
    <mergeCell ref="K65:K66"/>
    <mergeCell ref="M65:M66"/>
    <mergeCell ref="N65:N66"/>
    <mergeCell ref="O65:O66"/>
    <mergeCell ref="P65:P66"/>
    <mergeCell ref="Q65:Q66"/>
    <mergeCell ref="R65:R66"/>
    <mergeCell ref="S65:S66"/>
    <mergeCell ref="T65:T66"/>
    <mergeCell ref="M62:M63"/>
    <mergeCell ref="N62:N63"/>
    <mergeCell ref="O62:O63"/>
    <mergeCell ref="P62:P63"/>
    <mergeCell ref="Q62:Q63"/>
    <mergeCell ref="R62:R63"/>
    <mergeCell ref="S62:S63"/>
    <mergeCell ref="T62:T63"/>
    <mergeCell ref="U62:U63"/>
    <mergeCell ref="C62:C63"/>
    <mergeCell ref="D62:D63"/>
    <mergeCell ref="E62:E63"/>
    <mergeCell ref="F62:F63"/>
    <mergeCell ref="G62:G63"/>
    <mergeCell ref="H62:H63"/>
    <mergeCell ref="I62:I63"/>
    <mergeCell ref="J62:J63"/>
    <mergeCell ref="K62:K63"/>
    <mergeCell ref="T59:T60"/>
    <mergeCell ref="U59:U60"/>
    <mergeCell ref="V59:V60"/>
    <mergeCell ref="W59:W60"/>
    <mergeCell ref="X59:X60"/>
    <mergeCell ref="Y59:Y60"/>
    <mergeCell ref="Z59:Z60"/>
    <mergeCell ref="AA59:AA60"/>
    <mergeCell ref="AB59:AB60"/>
    <mergeCell ref="U56:U57"/>
    <mergeCell ref="V56:V57"/>
    <mergeCell ref="W56:W57"/>
    <mergeCell ref="X56:X57"/>
    <mergeCell ref="Y56:Y57"/>
    <mergeCell ref="Z56:Z57"/>
    <mergeCell ref="AA56:AA57"/>
    <mergeCell ref="AB56:AB57"/>
    <mergeCell ref="C59:C60"/>
    <mergeCell ref="D59:D60"/>
    <mergeCell ref="E59:E60"/>
    <mergeCell ref="F59:F60"/>
    <mergeCell ref="G59:G60"/>
    <mergeCell ref="H59:H60"/>
    <mergeCell ref="I59:I60"/>
    <mergeCell ref="J59:J60"/>
    <mergeCell ref="K59:K60"/>
    <mergeCell ref="M59:M60"/>
    <mergeCell ref="N59:N60"/>
    <mergeCell ref="O59:O60"/>
    <mergeCell ref="P59:P60"/>
    <mergeCell ref="Q59:Q60"/>
    <mergeCell ref="R59:R60"/>
    <mergeCell ref="S59:S60"/>
    <mergeCell ref="V53:V54"/>
    <mergeCell ref="W53:W54"/>
    <mergeCell ref="X53:X54"/>
    <mergeCell ref="Y53:Y54"/>
    <mergeCell ref="Z53:Z54"/>
    <mergeCell ref="AA53:AA54"/>
    <mergeCell ref="AB53:AB54"/>
    <mergeCell ref="C56:C57"/>
    <mergeCell ref="D56:D57"/>
    <mergeCell ref="E56:E57"/>
    <mergeCell ref="F56:F57"/>
    <mergeCell ref="G56:G57"/>
    <mergeCell ref="H56:H57"/>
    <mergeCell ref="I56:I57"/>
    <mergeCell ref="J56:J57"/>
    <mergeCell ref="K56:K57"/>
    <mergeCell ref="M56:M57"/>
    <mergeCell ref="N56:N57"/>
    <mergeCell ref="O56:O57"/>
    <mergeCell ref="P56:P57"/>
    <mergeCell ref="Q56:Q57"/>
    <mergeCell ref="R56:R57"/>
    <mergeCell ref="S56:S57"/>
    <mergeCell ref="T56:T57"/>
    <mergeCell ref="M53:M54"/>
    <mergeCell ref="N53:N54"/>
    <mergeCell ref="O53:O54"/>
    <mergeCell ref="P53:P54"/>
    <mergeCell ref="Q53:Q54"/>
    <mergeCell ref="R53:R54"/>
    <mergeCell ref="S53:S54"/>
    <mergeCell ref="T53:T54"/>
    <mergeCell ref="U53:U54"/>
    <mergeCell ref="C53:C54"/>
    <mergeCell ref="D53:D54"/>
    <mergeCell ref="E53:E54"/>
    <mergeCell ref="F53:F54"/>
    <mergeCell ref="G53:G54"/>
    <mergeCell ref="H53:H54"/>
    <mergeCell ref="I53:I54"/>
    <mergeCell ref="J53:J54"/>
    <mergeCell ref="K53:K54"/>
    <mergeCell ref="T50:T51"/>
    <mergeCell ref="U50:U51"/>
    <mergeCell ref="V50:V51"/>
    <mergeCell ref="W50:W51"/>
    <mergeCell ref="X50:X51"/>
    <mergeCell ref="Y50:Y51"/>
    <mergeCell ref="Z50:Z51"/>
    <mergeCell ref="AA50:AA51"/>
    <mergeCell ref="AB50:AB51"/>
    <mergeCell ref="U47:U48"/>
    <mergeCell ref="V47:V48"/>
    <mergeCell ref="W47:W48"/>
    <mergeCell ref="X47:X48"/>
    <mergeCell ref="Y47:Y48"/>
    <mergeCell ref="Z47:Z48"/>
    <mergeCell ref="AA47:AA48"/>
    <mergeCell ref="AB47:AB48"/>
    <mergeCell ref="C50:C51"/>
    <mergeCell ref="D50:D51"/>
    <mergeCell ref="E50:E51"/>
    <mergeCell ref="F50:F51"/>
    <mergeCell ref="G50:G51"/>
    <mergeCell ref="H50:H51"/>
    <mergeCell ref="I50:I51"/>
    <mergeCell ref="J50:J51"/>
    <mergeCell ref="K50:K51"/>
    <mergeCell ref="M50:M51"/>
    <mergeCell ref="N50:N51"/>
    <mergeCell ref="O50:O51"/>
    <mergeCell ref="P50:P51"/>
    <mergeCell ref="Q50:Q51"/>
    <mergeCell ref="R50:R51"/>
    <mergeCell ref="S50:S51"/>
    <mergeCell ref="V44:V45"/>
    <mergeCell ref="W44:W45"/>
    <mergeCell ref="X44:X45"/>
    <mergeCell ref="Y44:Y45"/>
    <mergeCell ref="Z44:Z45"/>
    <mergeCell ref="AA44:AA45"/>
    <mergeCell ref="AB44:AB45"/>
    <mergeCell ref="C47:C48"/>
    <mergeCell ref="D47:D48"/>
    <mergeCell ref="E47:E48"/>
    <mergeCell ref="F47:F48"/>
    <mergeCell ref="G47:G48"/>
    <mergeCell ref="H47:H48"/>
    <mergeCell ref="I47:I48"/>
    <mergeCell ref="J47:J48"/>
    <mergeCell ref="K47:K48"/>
    <mergeCell ref="M47:M48"/>
    <mergeCell ref="N47:N48"/>
    <mergeCell ref="O47:O48"/>
    <mergeCell ref="P47:P48"/>
    <mergeCell ref="Q47:Q48"/>
    <mergeCell ref="R47:R48"/>
    <mergeCell ref="S47:S48"/>
    <mergeCell ref="T47:T48"/>
    <mergeCell ref="M44:M45"/>
    <mergeCell ref="N44:N45"/>
    <mergeCell ref="O44:O45"/>
    <mergeCell ref="P44:P45"/>
    <mergeCell ref="Q44:Q45"/>
    <mergeCell ref="R44:R45"/>
    <mergeCell ref="S44:S45"/>
    <mergeCell ref="T44:T45"/>
    <mergeCell ref="U44:U45"/>
    <mergeCell ref="C44:C45"/>
    <mergeCell ref="D44:D45"/>
    <mergeCell ref="E44:E45"/>
    <mergeCell ref="F44:F45"/>
    <mergeCell ref="G44:G45"/>
    <mergeCell ref="H44:H45"/>
    <mergeCell ref="I44:I45"/>
    <mergeCell ref="J44:J45"/>
    <mergeCell ref="K44:K45"/>
    <mergeCell ref="T41:T42"/>
    <mergeCell ref="U41:U42"/>
    <mergeCell ref="V41:V42"/>
    <mergeCell ref="W41:W42"/>
    <mergeCell ref="X41:X42"/>
    <mergeCell ref="Y41:Y42"/>
    <mergeCell ref="Z41:Z42"/>
    <mergeCell ref="AA41:AA42"/>
    <mergeCell ref="AB41:AB42"/>
    <mergeCell ref="U38:U39"/>
    <mergeCell ref="V38:V39"/>
    <mergeCell ref="W38:W39"/>
    <mergeCell ref="X38:X39"/>
    <mergeCell ref="Y38:Y39"/>
    <mergeCell ref="Z38:Z39"/>
    <mergeCell ref="AA38:AA39"/>
    <mergeCell ref="AB38:AB39"/>
    <mergeCell ref="C41:C42"/>
    <mergeCell ref="D41:D42"/>
    <mergeCell ref="E41:E42"/>
    <mergeCell ref="F41:F42"/>
    <mergeCell ref="G41:G42"/>
    <mergeCell ref="H41:H42"/>
    <mergeCell ref="I41:I42"/>
    <mergeCell ref="J41:J42"/>
    <mergeCell ref="K41:K42"/>
    <mergeCell ref="M41:M42"/>
    <mergeCell ref="N41:N42"/>
    <mergeCell ref="O41:O42"/>
    <mergeCell ref="P41:P42"/>
    <mergeCell ref="Q41:Q42"/>
    <mergeCell ref="R41:R42"/>
    <mergeCell ref="S41:S42"/>
    <mergeCell ref="V35:V36"/>
    <mergeCell ref="W35:W36"/>
    <mergeCell ref="X35:X36"/>
    <mergeCell ref="Y35:Y36"/>
    <mergeCell ref="Z35:Z36"/>
    <mergeCell ref="AA35:AA36"/>
    <mergeCell ref="AB35:AB36"/>
    <mergeCell ref="C38:C39"/>
    <mergeCell ref="D38:D39"/>
    <mergeCell ref="E38:E39"/>
    <mergeCell ref="F38:F39"/>
    <mergeCell ref="G38:G39"/>
    <mergeCell ref="H38:H39"/>
    <mergeCell ref="I38:I39"/>
    <mergeCell ref="J38:J39"/>
    <mergeCell ref="K38:K39"/>
    <mergeCell ref="M38:M39"/>
    <mergeCell ref="N38:N39"/>
    <mergeCell ref="O38:O39"/>
    <mergeCell ref="P38:P39"/>
    <mergeCell ref="Q38:Q39"/>
    <mergeCell ref="R38:R39"/>
    <mergeCell ref="S38:S39"/>
    <mergeCell ref="T38:T39"/>
    <mergeCell ref="M35:M36"/>
    <mergeCell ref="N35:N36"/>
    <mergeCell ref="O35:O36"/>
    <mergeCell ref="P35:P36"/>
    <mergeCell ref="Q35:Q36"/>
    <mergeCell ref="R35:R36"/>
    <mergeCell ref="S35:S36"/>
    <mergeCell ref="T35:T36"/>
    <mergeCell ref="U35:U36"/>
    <mergeCell ref="C35:C36"/>
    <mergeCell ref="D35:D36"/>
    <mergeCell ref="E35:E36"/>
    <mergeCell ref="F35:F36"/>
    <mergeCell ref="G35:G36"/>
    <mergeCell ref="H35:H36"/>
    <mergeCell ref="I35:I36"/>
    <mergeCell ref="J35:J36"/>
    <mergeCell ref="K35:K36"/>
    <mergeCell ref="B5:B7"/>
    <mergeCell ref="C5:C7"/>
    <mergeCell ref="D5:D7"/>
    <mergeCell ref="E5:F6"/>
    <mergeCell ref="G5:G7"/>
    <mergeCell ref="H5:H7"/>
    <mergeCell ref="X5:Y5"/>
    <mergeCell ref="Z5:Z7"/>
    <mergeCell ref="Y6:Y7"/>
    <mergeCell ref="K5:K7"/>
    <mergeCell ref="M5:N6"/>
    <mergeCell ref="O5:V6"/>
    <mergeCell ref="W5:W7"/>
    <mergeCell ref="L5:L6"/>
    <mergeCell ref="C8:C9"/>
    <mergeCell ref="D8:D9"/>
    <mergeCell ref="E8:E9"/>
    <mergeCell ref="F8:F9"/>
    <mergeCell ref="G8:G9"/>
    <mergeCell ref="H8:H9"/>
    <mergeCell ref="I8:I9"/>
    <mergeCell ref="I5:I7"/>
    <mergeCell ref="J5:J7"/>
    <mergeCell ref="W8:W9"/>
    <mergeCell ref="X8:X9"/>
    <mergeCell ref="Y8:Y9"/>
    <mergeCell ref="Z8:Z9"/>
    <mergeCell ref="C10:C11"/>
    <mergeCell ref="D10:D11"/>
    <mergeCell ref="E10:E11"/>
    <mergeCell ref="F10:F11"/>
    <mergeCell ref="G10:G11"/>
    <mergeCell ref="H10:H11"/>
    <mergeCell ref="Q8:Q9"/>
    <mergeCell ref="R8:R9"/>
    <mergeCell ref="S8:S9"/>
    <mergeCell ref="T8:T9"/>
    <mergeCell ref="U8:U9"/>
    <mergeCell ref="V8:V9"/>
    <mergeCell ref="J8:J9"/>
    <mergeCell ref="K8:K9"/>
    <mergeCell ref="M8:M9"/>
    <mergeCell ref="N8:N9"/>
    <mergeCell ref="O8:O9"/>
    <mergeCell ref="P8:P9"/>
    <mergeCell ref="Y10:Y11"/>
    <mergeCell ref="Z10:Z11"/>
    <mergeCell ref="C12:C13"/>
    <mergeCell ref="D12:D13"/>
    <mergeCell ref="E12:E13"/>
    <mergeCell ref="F12:F13"/>
    <mergeCell ref="G12:G13"/>
    <mergeCell ref="P10:P11"/>
    <mergeCell ref="Q10:Q11"/>
    <mergeCell ref="R10:R11"/>
    <mergeCell ref="S10:S11"/>
    <mergeCell ref="T10:T11"/>
    <mergeCell ref="U10:U11"/>
    <mergeCell ref="I10:I11"/>
    <mergeCell ref="J10:J11"/>
    <mergeCell ref="K10:K11"/>
    <mergeCell ref="M10:M11"/>
    <mergeCell ref="N10:N11"/>
    <mergeCell ref="O10:O11"/>
    <mergeCell ref="H12:H13"/>
    <mergeCell ref="I12:I13"/>
    <mergeCell ref="J12:J13"/>
    <mergeCell ref="K12:K13"/>
    <mergeCell ref="M12:M13"/>
    <mergeCell ref="N12:N13"/>
    <mergeCell ref="O12:O13"/>
    <mergeCell ref="P12:P13"/>
    <mergeCell ref="Q12:Q13"/>
    <mergeCell ref="R12:R13"/>
    <mergeCell ref="S12:S13"/>
    <mergeCell ref="T12:T13"/>
    <mergeCell ref="V10:V11"/>
    <mergeCell ref="W10:W11"/>
    <mergeCell ref="X10:X11"/>
    <mergeCell ref="U12:U13"/>
    <mergeCell ref="V12:V13"/>
    <mergeCell ref="W12:W13"/>
    <mergeCell ref="X12:X13"/>
    <mergeCell ref="Y12:Y13"/>
    <mergeCell ref="Z12:Z13"/>
    <mergeCell ref="Y14:Y15"/>
    <mergeCell ref="Z14:Z15"/>
    <mergeCell ref="C16:C17"/>
    <mergeCell ref="D16:D17"/>
    <mergeCell ref="E16:E17"/>
    <mergeCell ref="F16:F17"/>
    <mergeCell ref="G16:G17"/>
    <mergeCell ref="P14:P15"/>
    <mergeCell ref="Q14:Q15"/>
    <mergeCell ref="R14:R15"/>
    <mergeCell ref="S14:S15"/>
    <mergeCell ref="T14:T15"/>
    <mergeCell ref="U14:U15"/>
    <mergeCell ref="I14:I15"/>
    <mergeCell ref="J14:J15"/>
    <mergeCell ref="K14:K15"/>
    <mergeCell ref="M14:M15"/>
    <mergeCell ref="N14:N15"/>
    <mergeCell ref="O14:O15"/>
    <mergeCell ref="C14:C15"/>
    <mergeCell ref="D14:D15"/>
    <mergeCell ref="E14:E15"/>
    <mergeCell ref="F14:F15"/>
    <mergeCell ref="G14:G15"/>
    <mergeCell ref="H16:H17"/>
    <mergeCell ref="I16:I17"/>
    <mergeCell ref="J16:J17"/>
    <mergeCell ref="K16:K17"/>
    <mergeCell ref="M16:M17"/>
    <mergeCell ref="N16:N17"/>
    <mergeCell ref="V14:V15"/>
    <mergeCell ref="W14:W15"/>
    <mergeCell ref="X14:X15"/>
    <mergeCell ref="H14:H15"/>
    <mergeCell ref="U16:U17"/>
    <mergeCell ref="V16:V17"/>
    <mergeCell ref="W16:W17"/>
    <mergeCell ref="X16:X17"/>
    <mergeCell ref="Y16:Y17"/>
    <mergeCell ref="Z16:Z17"/>
    <mergeCell ref="O16:O17"/>
    <mergeCell ref="P16:P17"/>
    <mergeCell ref="Q16:Q17"/>
    <mergeCell ref="R16:R17"/>
    <mergeCell ref="S16:S17"/>
    <mergeCell ref="T16:T17"/>
    <mergeCell ref="Y18:Y19"/>
    <mergeCell ref="Z18:Z19"/>
    <mergeCell ref="T18:T19"/>
    <mergeCell ref="U18:U19"/>
    <mergeCell ref="C20:C21"/>
    <mergeCell ref="D20:D21"/>
    <mergeCell ref="E20:E21"/>
    <mergeCell ref="F20:F21"/>
    <mergeCell ref="G20:G21"/>
    <mergeCell ref="P18:P19"/>
    <mergeCell ref="Q18:Q19"/>
    <mergeCell ref="R18:R19"/>
    <mergeCell ref="S18:S19"/>
    <mergeCell ref="I18:I19"/>
    <mergeCell ref="J18:J19"/>
    <mergeCell ref="K18:K19"/>
    <mergeCell ref="M18:M19"/>
    <mergeCell ref="N18:N19"/>
    <mergeCell ref="O18:O19"/>
    <mergeCell ref="C18:C19"/>
    <mergeCell ref="D18:D19"/>
    <mergeCell ref="E18:E19"/>
    <mergeCell ref="F18:F19"/>
    <mergeCell ref="G18:G19"/>
    <mergeCell ref="H20:H21"/>
    <mergeCell ref="I20:I21"/>
    <mergeCell ref="J20:J21"/>
    <mergeCell ref="K20:K21"/>
    <mergeCell ref="M20:M21"/>
    <mergeCell ref="N20:N21"/>
    <mergeCell ref="V18:V19"/>
    <mergeCell ref="W18:W19"/>
    <mergeCell ref="X18:X19"/>
    <mergeCell ref="H18:H19"/>
    <mergeCell ref="U20:U21"/>
    <mergeCell ref="V20:V21"/>
    <mergeCell ref="W20:W21"/>
    <mergeCell ref="X20:X21"/>
    <mergeCell ref="Y20:Y21"/>
    <mergeCell ref="Z20:Z21"/>
    <mergeCell ref="O20:O21"/>
    <mergeCell ref="P20:P21"/>
    <mergeCell ref="Q20:Q21"/>
    <mergeCell ref="R20:R21"/>
    <mergeCell ref="S20:S21"/>
    <mergeCell ref="T20:T21"/>
    <mergeCell ref="Y22:Y23"/>
    <mergeCell ref="Z22:Z23"/>
    <mergeCell ref="T22:T23"/>
    <mergeCell ref="U22:U23"/>
    <mergeCell ref="C24:C25"/>
    <mergeCell ref="D24:D25"/>
    <mergeCell ref="E24:E25"/>
    <mergeCell ref="F24:F25"/>
    <mergeCell ref="G24:G25"/>
    <mergeCell ref="P22:P23"/>
    <mergeCell ref="Q22:Q23"/>
    <mergeCell ref="R22:R23"/>
    <mergeCell ref="S22:S23"/>
    <mergeCell ref="I22:I23"/>
    <mergeCell ref="J22:J23"/>
    <mergeCell ref="K22:K23"/>
    <mergeCell ref="M22:M23"/>
    <mergeCell ref="N22:N23"/>
    <mergeCell ref="O22:O23"/>
    <mergeCell ref="C22:C23"/>
    <mergeCell ref="D22:D23"/>
    <mergeCell ref="E22:E23"/>
    <mergeCell ref="F22:F23"/>
    <mergeCell ref="G22:G23"/>
    <mergeCell ref="H24:H25"/>
    <mergeCell ref="I24:I25"/>
    <mergeCell ref="J24:J25"/>
    <mergeCell ref="K24:K25"/>
    <mergeCell ref="M24:M25"/>
    <mergeCell ref="N24:N25"/>
    <mergeCell ref="V22:V23"/>
    <mergeCell ref="W22:W23"/>
    <mergeCell ref="X22:X23"/>
    <mergeCell ref="H22:H23"/>
    <mergeCell ref="U24:U25"/>
    <mergeCell ref="V24:V25"/>
    <mergeCell ref="W24:W25"/>
    <mergeCell ref="X24:X25"/>
    <mergeCell ref="Y24:Y25"/>
    <mergeCell ref="Z24:Z25"/>
    <mergeCell ref="O24:O25"/>
    <mergeCell ref="P24:P25"/>
    <mergeCell ref="Q24:Q25"/>
    <mergeCell ref="R24:R25"/>
    <mergeCell ref="S24:S25"/>
    <mergeCell ref="T24:T25"/>
    <mergeCell ref="Y26:Y27"/>
    <mergeCell ref="Z26:Z27"/>
    <mergeCell ref="T26:T27"/>
    <mergeCell ref="U26:U27"/>
    <mergeCell ref="C28:C29"/>
    <mergeCell ref="D28:D29"/>
    <mergeCell ref="E28:E29"/>
    <mergeCell ref="F28:F29"/>
    <mergeCell ref="G28:G29"/>
    <mergeCell ref="P26:P27"/>
    <mergeCell ref="Q26:Q27"/>
    <mergeCell ref="R26:R27"/>
    <mergeCell ref="S26:S27"/>
    <mergeCell ref="I26:I27"/>
    <mergeCell ref="J26:J27"/>
    <mergeCell ref="K26:K27"/>
    <mergeCell ref="M26:M27"/>
    <mergeCell ref="N26:N27"/>
    <mergeCell ref="O26:O27"/>
    <mergeCell ref="C26:C27"/>
    <mergeCell ref="D26:D27"/>
    <mergeCell ref="E26:E27"/>
    <mergeCell ref="F26:F27"/>
    <mergeCell ref="G26:G27"/>
    <mergeCell ref="H28:H29"/>
    <mergeCell ref="I28:I29"/>
    <mergeCell ref="J28:J29"/>
    <mergeCell ref="K28:K29"/>
    <mergeCell ref="M28:M29"/>
    <mergeCell ref="N28:N29"/>
    <mergeCell ref="V26:V27"/>
    <mergeCell ref="W26:W27"/>
    <mergeCell ref="X26:X27"/>
    <mergeCell ref="H26:H27"/>
    <mergeCell ref="U28:U29"/>
    <mergeCell ref="V28:V29"/>
    <mergeCell ref="W28:W29"/>
    <mergeCell ref="X28:X29"/>
    <mergeCell ref="O28:O29"/>
    <mergeCell ref="P28:P29"/>
    <mergeCell ref="Q28:Q29"/>
    <mergeCell ref="R28:R29"/>
    <mergeCell ref="S28:S29"/>
    <mergeCell ref="T28:T29"/>
    <mergeCell ref="Y30:Y31"/>
    <mergeCell ref="Z30:Z31"/>
    <mergeCell ref="T30:T31"/>
    <mergeCell ref="U30:U31"/>
    <mergeCell ref="C32:C33"/>
    <mergeCell ref="D32:D33"/>
    <mergeCell ref="E32:E33"/>
    <mergeCell ref="F32:F33"/>
    <mergeCell ref="G32:G33"/>
    <mergeCell ref="P30:P31"/>
    <mergeCell ref="Q30:Q31"/>
    <mergeCell ref="R30:R31"/>
    <mergeCell ref="S30:S31"/>
    <mergeCell ref="I30:I31"/>
    <mergeCell ref="J30:J31"/>
    <mergeCell ref="K30:K31"/>
    <mergeCell ref="M30:M31"/>
    <mergeCell ref="N30:N31"/>
    <mergeCell ref="O30:O31"/>
    <mergeCell ref="C30:C31"/>
    <mergeCell ref="D30:D31"/>
    <mergeCell ref="E30:E31"/>
    <mergeCell ref="F30:F31"/>
    <mergeCell ref="G30:G31"/>
    <mergeCell ref="H32:H33"/>
    <mergeCell ref="I32:I33"/>
    <mergeCell ref="J32:J33"/>
    <mergeCell ref="K32:K33"/>
    <mergeCell ref="M32:M33"/>
    <mergeCell ref="N32:N33"/>
    <mergeCell ref="V30:V31"/>
    <mergeCell ref="W30:W31"/>
    <mergeCell ref="X30:X31"/>
    <mergeCell ref="H30:H31"/>
    <mergeCell ref="U32:U33"/>
    <mergeCell ref="V32:V33"/>
    <mergeCell ref="W32:W33"/>
    <mergeCell ref="X32:X33"/>
    <mergeCell ref="Y32:Y33"/>
    <mergeCell ref="Z32:Z33"/>
    <mergeCell ref="O32:O33"/>
    <mergeCell ref="P32:P33"/>
    <mergeCell ref="Q32:Q33"/>
    <mergeCell ref="R32:R33"/>
    <mergeCell ref="S32:S33"/>
    <mergeCell ref="T32:T33"/>
    <mergeCell ref="AA5:AA7"/>
    <mergeCell ref="AA8:AA9"/>
    <mergeCell ref="AA10:AA11"/>
    <mergeCell ref="AA12:AA13"/>
    <mergeCell ref="AA14:AA15"/>
    <mergeCell ref="AA28:AA29"/>
    <mergeCell ref="AA30:AA31"/>
    <mergeCell ref="AA32:AA33"/>
    <mergeCell ref="AA16:AA17"/>
    <mergeCell ref="AA18:AA19"/>
    <mergeCell ref="AA20:AA21"/>
    <mergeCell ref="AA22:AA23"/>
    <mergeCell ref="AA24:AA25"/>
    <mergeCell ref="AA26:AA27"/>
    <mergeCell ref="Y28:Y29"/>
    <mergeCell ref="Z28:Z29"/>
    <mergeCell ref="AB30:AB31"/>
    <mergeCell ref="AB32:AB33"/>
    <mergeCell ref="AB18:AB19"/>
    <mergeCell ref="AB20:AB21"/>
    <mergeCell ref="AB22:AB23"/>
    <mergeCell ref="AB24:AB25"/>
    <mergeCell ref="AB26:AB27"/>
    <mergeCell ref="AB28:AB29"/>
    <mergeCell ref="AB5:AB7"/>
    <mergeCell ref="AB8:AB9"/>
    <mergeCell ref="AB10:AB11"/>
    <mergeCell ref="AB12:AB13"/>
    <mergeCell ref="AB14:AB15"/>
    <mergeCell ref="AB16:AB17"/>
  </mergeCells>
  <conditionalFormatting sqref="B9 B11 B13 B15 B17 B19 B21 B23 B25 B27 B29 B31 B33">
    <cfRule type="cellIs" dxfId="98" priority="75" stopIfTrue="1" operator="equal">
      <formula>3</formula>
    </cfRule>
    <cfRule type="cellIs" dxfId="97" priority="74" stopIfTrue="1" operator="equal">
      <formula>2</formula>
    </cfRule>
    <cfRule type="cellIs" dxfId="96" priority="73" stopIfTrue="1" operator="equal">
      <formula>1</formula>
    </cfRule>
  </conditionalFormatting>
  <conditionalFormatting sqref="B36">
    <cfRule type="cellIs" dxfId="95" priority="72" stopIfTrue="1" operator="equal">
      <formula>3</formula>
    </cfRule>
    <cfRule type="cellIs" dxfId="94" priority="71" stopIfTrue="1" operator="equal">
      <formula>2</formula>
    </cfRule>
    <cfRule type="cellIs" dxfId="93" priority="70" stopIfTrue="1" operator="equal">
      <formula>1</formula>
    </cfRule>
  </conditionalFormatting>
  <conditionalFormatting sqref="B39">
    <cfRule type="cellIs" dxfId="92" priority="69" stopIfTrue="1" operator="equal">
      <formula>3</formula>
    </cfRule>
    <cfRule type="cellIs" dxfId="91" priority="68" stopIfTrue="1" operator="equal">
      <formula>2</formula>
    </cfRule>
    <cfRule type="cellIs" dxfId="90" priority="67" stopIfTrue="1" operator="equal">
      <formula>1</formula>
    </cfRule>
  </conditionalFormatting>
  <conditionalFormatting sqref="B42">
    <cfRule type="cellIs" dxfId="89" priority="66" stopIfTrue="1" operator="equal">
      <formula>3</formula>
    </cfRule>
    <cfRule type="cellIs" dxfId="88" priority="65" stopIfTrue="1" operator="equal">
      <formula>2</formula>
    </cfRule>
    <cfRule type="cellIs" dxfId="87" priority="64" stopIfTrue="1" operator="equal">
      <formula>1</formula>
    </cfRule>
  </conditionalFormatting>
  <conditionalFormatting sqref="B45">
    <cfRule type="cellIs" dxfId="86" priority="57" stopIfTrue="1" operator="equal">
      <formula>3</formula>
    </cfRule>
    <cfRule type="cellIs" dxfId="85" priority="56" stopIfTrue="1" operator="equal">
      <formula>2</formula>
    </cfRule>
    <cfRule type="cellIs" dxfId="84" priority="55" stopIfTrue="1" operator="equal">
      <formula>1</formula>
    </cfRule>
  </conditionalFormatting>
  <conditionalFormatting sqref="B48">
    <cfRule type="cellIs" dxfId="83" priority="54" stopIfTrue="1" operator="equal">
      <formula>3</formula>
    </cfRule>
    <cfRule type="cellIs" dxfId="82" priority="53" stopIfTrue="1" operator="equal">
      <formula>2</formula>
    </cfRule>
    <cfRule type="cellIs" dxfId="81" priority="52" stopIfTrue="1" operator="equal">
      <formula>1</formula>
    </cfRule>
  </conditionalFormatting>
  <conditionalFormatting sqref="B51">
    <cfRule type="cellIs" dxfId="80" priority="51" stopIfTrue="1" operator="equal">
      <formula>3</formula>
    </cfRule>
    <cfRule type="cellIs" dxfId="79" priority="50" stopIfTrue="1" operator="equal">
      <formula>2</formula>
    </cfRule>
    <cfRule type="cellIs" dxfId="78" priority="49" stopIfTrue="1" operator="equal">
      <formula>1</formula>
    </cfRule>
  </conditionalFormatting>
  <conditionalFormatting sqref="B54">
    <cfRule type="cellIs" dxfId="77" priority="48" stopIfTrue="1" operator="equal">
      <formula>3</formula>
    </cfRule>
    <cfRule type="cellIs" dxfId="76" priority="47" stopIfTrue="1" operator="equal">
      <formula>2</formula>
    </cfRule>
    <cfRule type="cellIs" dxfId="75" priority="46" stopIfTrue="1" operator="equal">
      <formula>1</formula>
    </cfRule>
  </conditionalFormatting>
  <conditionalFormatting sqref="B57">
    <cfRule type="cellIs" dxfId="74" priority="45" stopIfTrue="1" operator="equal">
      <formula>3</formula>
    </cfRule>
    <cfRule type="cellIs" dxfId="73" priority="44" stopIfTrue="1" operator="equal">
      <formula>2</formula>
    </cfRule>
    <cfRule type="cellIs" dxfId="72" priority="43" stopIfTrue="1" operator="equal">
      <formula>1</formula>
    </cfRule>
  </conditionalFormatting>
  <conditionalFormatting sqref="B60">
    <cfRule type="cellIs" dxfId="71" priority="42" stopIfTrue="1" operator="equal">
      <formula>3</formula>
    </cfRule>
    <cfRule type="cellIs" dxfId="70" priority="41" stopIfTrue="1" operator="equal">
      <formula>2</formula>
    </cfRule>
    <cfRule type="cellIs" dxfId="69" priority="40" stopIfTrue="1" operator="equal">
      <formula>1</formula>
    </cfRule>
  </conditionalFormatting>
  <conditionalFormatting sqref="B63">
    <cfRule type="cellIs" dxfId="68" priority="39" stopIfTrue="1" operator="equal">
      <formula>3</formula>
    </cfRule>
    <cfRule type="cellIs" dxfId="67" priority="38" stopIfTrue="1" operator="equal">
      <formula>2</formula>
    </cfRule>
    <cfRule type="cellIs" dxfId="66" priority="37" stopIfTrue="1" operator="equal">
      <formula>1</formula>
    </cfRule>
  </conditionalFormatting>
  <conditionalFormatting sqref="B66">
    <cfRule type="cellIs" dxfId="65" priority="34" stopIfTrue="1" operator="equal">
      <formula>1</formula>
    </cfRule>
    <cfRule type="cellIs" dxfId="64" priority="35" stopIfTrue="1" operator="equal">
      <formula>2</formula>
    </cfRule>
    <cfRule type="cellIs" dxfId="63" priority="36" stopIfTrue="1" operator="equal">
      <formula>3</formula>
    </cfRule>
  </conditionalFormatting>
  <conditionalFormatting sqref="B69">
    <cfRule type="cellIs" dxfId="62" priority="33" stopIfTrue="1" operator="equal">
      <formula>3</formula>
    </cfRule>
    <cfRule type="cellIs" dxfId="61" priority="32" stopIfTrue="1" operator="equal">
      <formula>2</formula>
    </cfRule>
    <cfRule type="cellIs" dxfId="60" priority="31" stopIfTrue="1" operator="equal">
      <formula>1</formula>
    </cfRule>
  </conditionalFormatting>
  <conditionalFormatting sqref="B72">
    <cfRule type="cellIs" dxfId="59" priority="30" stopIfTrue="1" operator="equal">
      <formula>3</formula>
    </cfRule>
    <cfRule type="cellIs" dxfId="58" priority="29" stopIfTrue="1" operator="equal">
      <formula>2</formula>
    </cfRule>
    <cfRule type="cellIs" dxfId="57" priority="28" stopIfTrue="1" operator="equal">
      <formula>1</formula>
    </cfRule>
  </conditionalFormatting>
  <conditionalFormatting sqref="B75">
    <cfRule type="cellIs" dxfId="56" priority="27" stopIfTrue="1" operator="equal">
      <formula>3</formula>
    </cfRule>
    <cfRule type="cellIs" dxfId="55" priority="26" stopIfTrue="1" operator="equal">
      <formula>2</formula>
    </cfRule>
    <cfRule type="cellIs" dxfId="54" priority="25" stopIfTrue="1" operator="equal">
      <formula>1</formula>
    </cfRule>
  </conditionalFormatting>
  <conditionalFormatting sqref="B78">
    <cfRule type="cellIs" dxfId="53" priority="24" stopIfTrue="1" operator="equal">
      <formula>3</formula>
    </cfRule>
    <cfRule type="cellIs" dxfId="52" priority="23" stopIfTrue="1" operator="equal">
      <formula>2</formula>
    </cfRule>
    <cfRule type="cellIs" dxfId="51" priority="22" stopIfTrue="1" operator="equal">
      <formula>1</formula>
    </cfRule>
  </conditionalFormatting>
  <conditionalFormatting sqref="B81">
    <cfRule type="cellIs" dxfId="50" priority="21" stopIfTrue="1" operator="equal">
      <formula>3</formula>
    </cfRule>
    <cfRule type="cellIs" dxfId="49" priority="20" stopIfTrue="1" operator="equal">
      <formula>2</formula>
    </cfRule>
    <cfRule type="cellIs" dxfId="48" priority="19" stopIfTrue="1" operator="equal">
      <formula>1</formula>
    </cfRule>
  </conditionalFormatting>
  <conditionalFormatting sqref="B84">
    <cfRule type="cellIs" dxfId="47" priority="18" stopIfTrue="1" operator="equal">
      <formula>3</formula>
    </cfRule>
    <cfRule type="cellIs" dxfId="46" priority="17" stopIfTrue="1" operator="equal">
      <formula>2</formula>
    </cfRule>
    <cfRule type="cellIs" dxfId="45" priority="16" stopIfTrue="1" operator="equal">
      <formula>1</formula>
    </cfRule>
  </conditionalFormatting>
  <conditionalFormatting sqref="B87">
    <cfRule type="cellIs" dxfId="44" priority="15" stopIfTrue="1" operator="equal">
      <formula>3</formula>
    </cfRule>
    <cfRule type="cellIs" dxfId="43" priority="14" stopIfTrue="1" operator="equal">
      <formula>2</formula>
    </cfRule>
    <cfRule type="cellIs" dxfId="42" priority="13" stopIfTrue="1" operator="equal">
      <formula>1</formula>
    </cfRule>
  </conditionalFormatting>
  <conditionalFormatting sqref="B90">
    <cfRule type="cellIs" dxfId="41" priority="12" stopIfTrue="1" operator="equal">
      <formula>3</formula>
    </cfRule>
    <cfRule type="cellIs" dxfId="40" priority="11" stopIfTrue="1" operator="equal">
      <formula>2</formula>
    </cfRule>
    <cfRule type="cellIs" dxfId="39" priority="10" stopIfTrue="1" operator="equal">
      <formula>1</formula>
    </cfRule>
  </conditionalFormatting>
  <conditionalFormatting sqref="B93">
    <cfRule type="cellIs" dxfId="38" priority="9" stopIfTrue="1" operator="equal">
      <formula>3</formula>
    </cfRule>
    <cfRule type="cellIs" dxfId="37" priority="8" stopIfTrue="1" operator="equal">
      <formula>2</formula>
    </cfRule>
    <cfRule type="cellIs" dxfId="36" priority="7" stopIfTrue="1" operator="equal">
      <formula>1</formula>
    </cfRule>
  </conditionalFormatting>
  <conditionalFormatting sqref="B96">
    <cfRule type="cellIs" dxfId="35" priority="6" stopIfTrue="1" operator="equal">
      <formula>3</formula>
    </cfRule>
    <cfRule type="cellIs" dxfId="34" priority="5" stopIfTrue="1" operator="equal">
      <formula>2</formula>
    </cfRule>
    <cfRule type="cellIs" dxfId="33" priority="4" stopIfTrue="1" operator="equal">
      <formula>1</formula>
    </cfRule>
  </conditionalFormatting>
  <conditionalFormatting sqref="B99">
    <cfRule type="cellIs" dxfId="32" priority="3" stopIfTrue="1" operator="equal">
      <formula>3</formula>
    </cfRule>
    <cfRule type="cellIs" dxfId="31" priority="2" stopIfTrue="1" operator="equal">
      <formula>2</formula>
    </cfRule>
    <cfRule type="cellIs" dxfId="30" priority="1" stopIfTrue="1" operator="equal">
      <formula>1</formula>
    </cfRule>
  </conditionalFormatting>
  <printOptions horizontalCentered="1"/>
  <pageMargins left="0.19685039370078741" right="0.19685039370078741" top="0.39370078740157483" bottom="0.55118110236220474" header="0.70866141732283472" footer="0.11811023622047245"/>
  <pageSetup paperSize="9" scale="57" fitToHeight="0" orientation="landscape" horizontalDpi="4294967293" r:id="rId1"/>
  <headerFooter alignWithMargins="0">
    <oddFooter>&amp;C&amp;10EFESO © 2020
Printed &amp;D&amp;R&amp;10&amp;P of &amp;N&amp;L&amp;"Calibri"&amp;11&amp;K000000&amp;10&amp;F
&amp;A_x000D_&amp;1#&amp;"Calibri"&amp;8&amp;K000000Classification: Internal</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1C18F-4DBC-4F43-A367-BB7284AD631E}">
  <dimension ref="A1:F8"/>
  <sheetViews>
    <sheetView showGridLines="0" zoomScale="175" zoomScaleNormal="175" workbookViewId="0">
      <selection activeCell="E2" sqref="E2"/>
    </sheetView>
  </sheetViews>
  <sheetFormatPr defaultRowHeight="15"/>
  <cols>
    <col min="1" max="1" width="9.7109375" bestFit="1" customWidth="1"/>
    <col min="2" max="2" width="12.5703125" bestFit="1" customWidth="1"/>
    <col min="3" max="3" width="15.7109375" bestFit="1" customWidth="1"/>
    <col min="4" max="4" width="17.85546875" bestFit="1" customWidth="1"/>
    <col min="5" max="5" width="14.140625" bestFit="1" customWidth="1"/>
    <col min="6" max="6" width="16.140625" bestFit="1" customWidth="1"/>
  </cols>
  <sheetData>
    <row r="1" spans="1:6">
      <c r="A1" s="1749" t="s">
        <v>112</v>
      </c>
      <c r="B1" s="1749" t="s">
        <v>113</v>
      </c>
      <c r="C1" s="1749" t="s">
        <v>114</v>
      </c>
      <c r="D1" s="1749" t="s">
        <v>115</v>
      </c>
      <c r="E1" s="1749" t="s">
        <v>116</v>
      </c>
      <c r="F1" s="1749" t="s">
        <v>117</v>
      </c>
    </row>
    <row r="2" spans="1:6">
      <c r="A2" s="1748" t="s">
        <v>118</v>
      </c>
      <c r="B2" s="1748">
        <f>COUNTIF('Team Identity Card'!$Z$8:$Z$33,'Project Sum'!A2)</f>
        <v>0</v>
      </c>
      <c r="C2" s="1748"/>
      <c r="D2" s="1748"/>
      <c r="E2" s="1748"/>
      <c r="F2" s="1748"/>
    </row>
    <row r="3" spans="1:6">
      <c r="A3" s="1748" t="s">
        <v>66</v>
      </c>
      <c r="B3" s="1748">
        <f>COUNTIF('Team Identity Card'!$Z$8:$Z$33,'Project Sum'!A3)</f>
        <v>0</v>
      </c>
      <c r="C3" s="1748"/>
      <c r="D3" s="1748"/>
      <c r="E3" s="1748"/>
      <c r="F3" s="1748"/>
    </row>
    <row r="4" spans="1:6">
      <c r="A4" s="1748" t="s">
        <v>65</v>
      </c>
      <c r="B4" s="1748">
        <f>COUNTIF('Team Identity Card'!$Z$8:$Z$33,'Project Sum'!A4)</f>
        <v>4</v>
      </c>
      <c r="C4" s="1748"/>
      <c r="D4" s="1748"/>
      <c r="E4" s="1748"/>
      <c r="F4" s="1748"/>
    </row>
    <row r="5" spans="1:6">
      <c r="A5" s="1748" t="s">
        <v>95</v>
      </c>
      <c r="B5" s="1748">
        <f>COUNTIF('Team Identity Card'!$Z$8:$Z$33,'Project Sum'!A5)</f>
        <v>0</v>
      </c>
      <c r="C5" s="1748"/>
      <c r="D5" s="1748"/>
      <c r="E5" s="1748"/>
      <c r="F5" s="1748"/>
    </row>
    <row r="6" spans="1:6">
      <c r="A6" s="1748" t="s">
        <v>42</v>
      </c>
      <c r="B6" s="1748">
        <f>COUNTIF('Team Identity Card'!$Z$8:$Z$33,'Project Sum'!A6)</f>
        <v>1</v>
      </c>
      <c r="C6" s="1748"/>
      <c r="D6" s="1748"/>
      <c r="E6" s="1748"/>
      <c r="F6" s="1748"/>
    </row>
    <row r="7" spans="1:6">
      <c r="A7" s="1748" t="s">
        <v>86</v>
      </c>
      <c r="B7" s="1748">
        <f>COUNTIF('Team Identity Card'!$Z$8:$Z$33,'Project Sum'!A7)</f>
        <v>0</v>
      </c>
      <c r="C7" s="1748"/>
      <c r="D7" s="1748"/>
      <c r="E7" s="1748"/>
      <c r="F7" s="1748"/>
    </row>
    <row r="8" spans="1:6">
      <c r="A8" s="1748" t="s">
        <v>46</v>
      </c>
      <c r="B8" s="1748">
        <f>COUNTIF('Team Identity Card'!$Z$8:$Z$33,'Project Sum'!A8)</f>
        <v>8</v>
      </c>
      <c r="C8" s="1748"/>
      <c r="D8" s="1748"/>
      <c r="E8" s="1748"/>
      <c r="F8" s="174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B8F49-FBE6-465F-84E3-EE94473D4086}">
  <dimension ref="B2:H44"/>
  <sheetViews>
    <sheetView showGridLines="0" tabSelected="1" zoomScale="115" zoomScaleNormal="115" workbookViewId="0"/>
  </sheetViews>
  <sheetFormatPr defaultColWidth="9.140625" defaultRowHeight="16.5"/>
  <cols>
    <col min="1" max="1" width="1.42578125" style="41" customWidth="1"/>
    <col min="2" max="2" width="5.85546875" style="41" customWidth="1"/>
    <col min="3" max="3" width="17.85546875" style="41" customWidth="1"/>
    <col min="4" max="4" width="25.85546875" style="41" customWidth="1"/>
    <col min="5" max="5" width="29.85546875" style="41" customWidth="1"/>
    <col min="6" max="6" width="81.140625" style="41" customWidth="1"/>
    <col min="7" max="7" width="49.140625" style="41" customWidth="1"/>
    <col min="8" max="8" width="9.140625" style="41"/>
    <col min="9" max="9" width="13.28515625" style="41" customWidth="1"/>
    <col min="10" max="10" width="36" style="41" bestFit="1" customWidth="1"/>
    <col min="11" max="16384" width="9.140625" style="41"/>
  </cols>
  <sheetData>
    <row r="2" spans="2:8">
      <c r="B2" s="1927" t="s">
        <v>119</v>
      </c>
      <c r="C2" s="1927"/>
      <c r="D2" s="1927"/>
      <c r="E2" s="1927"/>
      <c r="F2" s="1927"/>
      <c r="G2" s="1927"/>
      <c r="H2" s="1927"/>
    </row>
    <row r="3" spans="2:8" ht="31.5" customHeight="1">
      <c r="B3" s="1927"/>
      <c r="C3" s="1927"/>
      <c r="D3" s="1927"/>
      <c r="E3" s="1927"/>
      <c r="F3" s="1927"/>
      <c r="G3" s="1927"/>
      <c r="H3" s="1927"/>
    </row>
    <row r="4" spans="2:8" ht="20.25" customHeight="1">
      <c r="B4" s="1927"/>
      <c r="C4" s="1927"/>
      <c r="D4" s="1927"/>
      <c r="E4" s="1927"/>
      <c r="F4" s="1927"/>
      <c r="G4" s="1927"/>
      <c r="H4" s="1927"/>
    </row>
    <row r="5" spans="2:8" ht="16.5" customHeight="1">
      <c r="B5" s="487"/>
      <c r="C5" s="487"/>
      <c r="D5" s="487"/>
      <c r="E5" s="487"/>
      <c r="F5" s="487"/>
      <c r="G5" s="1925"/>
      <c r="H5" s="1926"/>
    </row>
    <row r="6" spans="2:8" ht="16.5" customHeight="1">
      <c r="B6" s="487"/>
      <c r="C6" s="487"/>
      <c r="D6" s="487"/>
      <c r="E6" s="487"/>
      <c r="F6" s="487"/>
      <c r="G6" s="487"/>
    </row>
    <row r="7" spans="2:8" ht="16.5" customHeight="1">
      <c r="B7" s="487"/>
      <c r="C7" s="487"/>
      <c r="D7" s="487"/>
      <c r="E7" s="487"/>
      <c r="F7" s="487"/>
      <c r="G7" s="487"/>
    </row>
    <row r="8" spans="2:8" ht="16.5" customHeight="1">
      <c r="B8" s="487"/>
      <c r="C8" s="487"/>
      <c r="D8" s="487"/>
      <c r="E8" s="487"/>
      <c r="F8" s="487"/>
      <c r="G8" s="487"/>
    </row>
    <row r="9" spans="2:8" ht="16.5" customHeight="1">
      <c r="B9" s="487"/>
      <c r="C9" s="487"/>
      <c r="D9" s="487"/>
      <c r="E9" s="487"/>
      <c r="F9" s="487"/>
      <c r="G9" s="487"/>
    </row>
    <row r="10" spans="2:8" ht="16.5" customHeight="1">
      <c r="B10" s="487"/>
      <c r="C10" s="487"/>
      <c r="D10" s="487"/>
      <c r="E10" s="487"/>
      <c r="F10" s="487"/>
      <c r="G10" s="487"/>
    </row>
    <row r="11" spans="2:8" ht="16.5" customHeight="1">
      <c r="B11" s="487"/>
      <c r="C11" s="487"/>
      <c r="D11" s="487"/>
      <c r="E11" s="487"/>
      <c r="F11" s="487"/>
      <c r="G11" s="487"/>
    </row>
    <row r="12" spans="2:8" ht="16.5" customHeight="1">
      <c r="B12" s="487"/>
      <c r="C12" s="487"/>
      <c r="D12" s="487"/>
      <c r="E12" s="487"/>
      <c r="F12" s="487"/>
      <c r="G12" s="487"/>
    </row>
    <row r="13" spans="2:8" ht="16.5" customHeight="1">
      <c r="B13" s="487"/>
      <c r="C13" s="487"/>
      <c r="D13" s="487"/>
      <c r="E13" s="487"/>
      <c r="F13" s="487"/>
      <c r="G13" s="487"/>
    </row>
    <row r="14" spans="2:8" ht="16.5" customHeight="1">
      <c r="B14" s="487"/>
      <c r="C14" s="487"/>
      <c r="D14" s="487"/>
      <c r="E14" s="487"/>
      <c r="F14" s="487"/>
      <c r="G14" s="487"/>
    </row>
    <row r="15" spans="2:8" ht="16.5" customHeight="1">
      <c r="B15" s="487"/>
      <c r="C15" s="487"/>
      <c r="D15" s="487"/>
      <c r="E15" s="487"/>
      <c r="F15" s="487"/>
      <c r="G15" s="487"/>
    </row>
    <row r="16" spans="2:8" ht="16.5" customHeight="1">
      <c r="B16" s="487"/>
      <c r="C16" s="487"/>
      <c r="D16" s="487"/>
      <c r="E16" s="487"/>
      <c r="F16" s="487"/>
      <c r="G16" s="487"/>
    </row>
    <row r="17" spans="2:7" ht="16.5" customHeight="1">
      <c r="B17" s="487"/>
      <c r="C17" s="487"/>
      <c r="D17" s="487"/>
      <c r="E17" s="487"/>
      <c r="F17" s="487"/>
      <c r="G17" s="487"/>
    </row>
    <row r="18" spans="2:7" ht="16.5" customHeight="1">
      <c r="B18" s="487"/>
      <c r="C18" s="487"/>
      <c r="D18" s="487"/>
      <c r="E18" s="487"/>
      <c r="F18" s="487"/>
      <c r="G18" s="487"/>
    </row>
    <row r="19" spans="2:7" ht="16.5" customHeight="1">
      <c r="B19" s="487"/>
      <c r="C19" s="487"/>
      <c r="D19" s="487"/>
      <c r="E19" s="487"/>
      <c r="F19" s="487"/>
      <c r="G19" s="487"/>
    </row>
    <row r="20" spans="2:7" ht="16.5" customHeight="1">
      <c r="B20" s="487"/>
      <c r="C20" s="487"/>
      <c r="D20" s="487"/>
      <c r="E20" s="487"/>
      <c r="F20" s="487"/>
      <c r="G20" s="487"/>
    </row>
    <row r="21" spans="2:7" ht="16.5" customHeight="1">
      <c r="B21" s="487"/>
      <c r="C21" s="487"/>
      <c r="D21" s="487"/>
      <c r="E21" s="487"/>
      <c r="F21" s="487"/>
      <c r="G21" s="487"/>
    </row>
    <row r="22" spans="2:7" ht="16.5" customHeight="1">
      <c r="B22" s="487"/>
      <c r="C22" s="487"/>
      <c r="D22" s="487"/>
      <c r="E22" s="487"/>
      <c r="F22" s="487"/>
      <c r="G22" s="487"/>
    </row>
    <row r="23" spans="2:7" ht="16.5" customHeight="1">
      <c r="B23" s="487"/>
      <c r="C23" s="487"/>
      <c r="D23" s="487"/>
      <c r="E23" s="487"/>
      <c r="F23" s="487"/>
      <c r="G23" s="487"/>
    </row>
    <row r="24" spans="2:7" ht="16.5" customHeight="1">
      <c r="B24" s="487"/>
      <c r="C24" s="487"/>
      <c r="D24" s="487"/>
      <c r="E24" s="487"/>
      <c r="F24" s="487"/>
      <c r="G24" s="487"/>
    </row>
    <row r="25" spans="2:7" ht="16.5" customHeight="1">
      <c r="B25" s="487"/>
      <c r="C25" s="487"/>
      <c r="D25" s="487"/>
      <c r="E25" s="487"/>
      <c r="F25" s="487"/>
      <c r="G25" s="487"/>
    </row>
    <row r="26" spans="2:7" ht="16.5" customHeight="1">
      <c r="B26" s="487"/>
      <c r="C26" s="487"/>
      <c r="D26" s="487"/>
      <c r="E26" s="487"/>
      <c r="F26" s="487"/>
      <c r="G26" s="487"/>
    </row>
    <row r="27" spans="2:7" ht="16.5" customHeight="1">
      <c r="B27" s="487"/>
      <c r="C27" s="487"/>
      <c r="D27" s="487"/>
      <c r="E27" s="487"/>
      <c r="F27" s="487"/>
      <c r="G27" s="487"/>
    </row>
    <row r="28" spans="2:7" ht="16.5" customHeight="1">
      <c r="B28" s="487"/>
      <c r="C28" s="487"/>
      <c r="D28" s="487"/>
      <c r="E28" s="487"/>
      <c r="F28" s="487"/>
      <c r="G28" s="487"/>
    </row>
    <row r="29" spans="2:7" ht="16.5" customHeight="1">
      <c r="B29" s="487"/>
      <c r="C29" s="487"/>
      <c r="D29" s="487"/>
      <c r="E29" s="487"/>
      <c r="F29" s="487"/>
      <c r="G29" s="487"/>
    </row>
    <row r="30" spans="2:7" ht="16.5" customHeight="1">
      <c r="B30" s="487"/>
      <c r="C30" s="487"/>
      <c r="D30" s="487"/>
      <c r="E30" s="487"/>
      <c r="F30" s="487"/>
      <c r="G30" s="487"/>
    </row>
    <row r="31" spans="2:7" ht="16.5" customHeight="1">
      <c r="B31" s="487"/>
      <c r="C31" s="487"/>
      <c r="D31" s="487"/>
      <c r="E31" s="487"/>
      <c r="F31" s="487"/>
      <c r="G31" s="487"/>
    </row>
    <row r="32" spans="2:7" ht="16.5" customHeight="1">
      <c r="B32" s="487"/>
      <c r="C32" s="487"/>
      <c r="D32" s="487"/>
      <c r="E32" s="487"/>
      <c r="F32" s="487"/>
      <c r="G32" s="487"/>
    </row>
    <row r="33" spans="2:7" ht="16.5" customHeight="1">
      <c r="B33" s="487"/>
      <c r="C33" s="487"/>
      <c r="D33" s="487"/>
      <c r="E33" s="487"/>
      <c r="G33" s="487"/>
    </row>
    <row r="34" spans="2:7" ht="16.5" customHeight="1">
      <c r="B34" s="487"/>
      <c r="C34" s="487"/>
      <c r="D34" s="487"/>
      <c r="E34" s="487"/>
      <c r="F34" s="487"/>
      <c r="G34" s="487"/>
    </row>
    <row r="35" spans="2:7" ht="16.5" customHeight="1">
      <c r="B35" s="487"/>
      <c r="C35" s="487"/>
      <c r="D35" s="487"/>
      <c r="E35" s="487"/>
      <c r="F35" s="487"/>
    </row>
    <row r="36" spans="2:7" ht="16.5" customHeight="1">
      <c r="B36" s="487"/>
      <c r="C36" s="487"/>
      <c r="D36" s="487"/>
      <c r="E36" s="487"/>
      <c r="F36" s="487"/>
      <c r="G36" s="487"/>
    </row>
    <row r="37" spans="2:7" ht="16.5" customHeight="1">
      <c r="B37" s="487"/>
      <c r="C37" s="487"/>
      <c r="D37" s="487"/>
      <c r="E37" s="487"/>
      <c r="F37" s="487"/>
      <c r="G37" s="487"/>
    </row>
    <row r="38" spans="2:7" ht="16.5" customHeight="1">
      <c r="B38" s="487"/>
      <c r="C38" s="487"/>
      <c r="D38" s="487"/>
      <c r="E38" s="487"/>
      <c r="F38" s="487"/>
      <c r="G38" s="487"/>
    </row>
    <row r="39" spans="2:7" ht="16.5" customHeight="1">
      <c r="B39" s="487"/>
      <c r="C39" s="487"/>
      <c r="D39" s="487"/>
      <c r="E39" s="487"/>
      <c r="F39" s="487"/>
      <c r="G39" s="487"/>
    </row>
    <row r="40" spans="2:7" ht="16.5" customHeight="1">
      <c r="B40" s="487"/>
      <c r="C40" s="487"/>
      <c r="D40" s="487"/>
      <c r="E40" s="487"/>
      <c r="F40" s="487"/>
      <c r="G40" s="487"/>
    </row>
    <row r="41" spans="2:7" ht="16.5" customHeight="1">
      <c r="B41" s="487"/>
      <c r="C41" s="487"/>
      <c r="D41" s="487"/>
      <c r="E41" s="487"/>
      <c r="F41" s="487"/>
      <c r="G41" s="487"/>
    </row>
    <row r="42" spans="2:7" ht="16.5" customHeight="1">
      <c r="B42" s="487"/>
      <c r="C42" s="487"/>
      <c r="D42" s="487"/>
      <c r="E42" s="487"/>
      <c r="F42" s="487"/>
      <c r="G42" s="487"/>
    </row>
    <row r="43" spans="2:7" ht="16.5" customHeight="1">
      <c r="B43" s="487"/>
      <c r="C43" s="487"/>
      <c r="D43" s="487"/>
      <c r="E43" s="487"/>
      <c r="F43" s="487"/>
      <c r="G43" s="487"/>
    </row>
    <row r="44" spans="2:7" ht="16.5" customHeight="1">
      <c r="B44" s="487"/>
      <c r="C44" s="487"/>
      <c r="D44" s="487"/>
      <c r="E44" s="487"/>
      <c r="F44" s="487"/>
      <c r="G44" s="487"/>
    </row>
  </sheetData>
  <sheetProtection algorithmName="SHA-512" hashValue="WdDkkM3ldtlaL8jEzneW8Qq375BEqSJFWOaLa0f7a4nI1yHy/P9o4FUuWg6nntNv4yfkvDcEd3FbD00IQ+Ejgg==" saltValue="pbfYx+iBs43uOdjaAsNBFA==" spinCount="100000" sheet="1" objects="1" scenarios="1"/>
  <mergeCells count="2">
    <mergeCell ref="G5:H5"/>
    <mergeCell ref="B2:H4"/>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B9012-8F01-4E82-A861-B9BE2662F873}">
  <dimension ref="AC16"/>
  <sheetViews>
    <sheetView showGridLines="0" zoomScaleNormal="100" workbookViewId="0">
      <selection activeCell="Q75" sqref="Q75"/>
    </sheetView>
  </sheetViews>
  <sheetFormatPr defaultRowHeight="15"/>
  <sheetData>
    <row r="16" spans="29:29">
      <c r="AC16" s="1102"/>
    </row>
  </sheetData>
  <sheetProtection algorithmName="SHA-512" hashValue="IIJDy5HZu+7VHbI7Drh5LoClHI8XOwqG9EVQxp7w8cRe0a44Zt/hNXkarME5j2cRg+tV/r82prG9xQY9BFsg+w==" saltValue="2lO2RPHNWeuc1ufzj71vyA==" spinCount="100000" sheet="1" objects="1" scenarios="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CC982-E8E8-441A-8023-FDCB3FAD2409}">
  <dimension ref="A1:J209"/>
  <sheetViews>
    <sheetView zoomScale="115" zoomScaleNormal="115" workbookViewId="0">
      <selection activeCell="C27" sqref="C27"/>
    </sheetView>
  </sheetViews>
  <sheetFormatPr defaultRowHeight="15"/>
  <cols>
    <col min="1" max="1" width="16.28515625" customWidth="1"/>
    <col min="2" max="2" width="18.42578125" bestFit="1" customWidth="1"/>
    <col min="3" max="3" width="21.5703125" bestFit="1" customWidth="1"/>
    <col min="4" max="4" width="15.42578125" bestFit="1" customWidth="1"/>
    <col min="5" max="5" width="14.28515625" bestFit="1" customWidth="1"/>
    <col min="6" max="7" width="11.140625" bestFit="1" customWidth="1"/>
    <col min="8" max="8" width="11.7109375" customWidth="1"/>
    <col min="9" max="9" width="12.28515625" bestFit="1" customWidth="1"/>
  </cols>
  <sheetData>
    <row r="1" spans="2:10">
      <c r="B1" s="665" t="s">
        <v>120</v>
      </c>
    </row>
    <row r="3" spans="2:10">
      <c r="B3" s="651" t="s">
        <v>121</v>
      </c>
      <c r="C3" s="651" t="s">
        <v>122</v>
      </c>
      <c r="D3" s="651" t="s">
        <v>123</v>
      </c>
      <c r="E3" s="651" t="s">
        <v>124</v>
      </c>
      <c r="F3" s="651"/>
      <c r="H3" t="s">
        <v>125</v>
      </c>
      <c r="I3" s="1705">
        <f>'Dashboard Data'!E9</f>
        <v>1.4479042538566409</v>
      </c>
      <c r="J3" t="s">
        <v>126</v>
      </c>
    </row>
    <row r="4" spans="2:10">
      <c r="B4" s="651" t="s">
        <v>127</v>
      </c>
      <c r="C4" s="685">
        <v>195604.40135031616</v>
      </c>
      <c r="D4" s="685">
        <f>Production!C30</f>
        <v>167055.83333333334</v>
      </c>
      <c r="E4" s="685">
        <f>Energy!C50</f>
        <v>244355</v>
      </c>
      <c r="F4" s="651">
        <f>E4/D4</f>
        <v>1.4627145614988999</v>
      </c>
    </row>
    <row r="5" spans="2:10">
      <c r="B5" s="651" t="s">
        <v>128</v>
      </c>
      <c r="C5" s="685">
        <v>205322.47961479813</v>
      </c>
      <c r="D5" s="685">
        <f>Production!C31</f>
        <v>0</v>
      </c>
      <c r="E5" s="685">
        <f>Energy!C51</f>
        <v>0</v>
      </c>
      <c r="F5" s="651" t="e">
        <f t="shared" ref="F5:F16" si="0">E5/D5</f>
        <v>#DIV/0!</v>
      </c>
    </row>
    <row r="6" spans="2:10">
      <c r="B6" s="651" t="s">
        <v>129</v>
      </c>
      <c r="C6" s="685">
        <v>212184.95832874233</v>
      </c>
      <c r="D6" s="685">
        <f>Production!C32</f>
        <v>0</v>
      </c>
      <c r="E6" s="685">
        <f>Energy!C52</f>
        <v>0</v>
      </c>
      <c r="F6" s="651" t="e">
        <f t="shared" si="0"/>
        <v>#DIV/0!</v>
      </c>
    </row>
    <row r="7" spans="2:10">
      <c r="B7" s="651" t="s">
        <v>130</v>
      </c>
      <c r="C7" s="685">
        <v>259069.69523801841</v>
      </c>
      <c r="D7" s="685">
        <f>Production!C33</f>
        <v>0</v>
      </c>
      <c r="E7" s="685">
        <f>Energy!C53</f>
        <v>0</v>
      </c>
      <c r="F7" s="651" t="e">
        <f t="shared" si="0"/>
        <v>#DIV/0!</v>
      </c>
      <c r="H7" t="s">
        <v>131</v>
      </c>
      <c r="I7" s="1724">
        <f>IFERROR(F16,"")</f>
        <v>1.4627131021932764</v>
      </c>
    </row>
    <row r="8" spans="2:10">
      <c r="B8" s="651" t="s">
        <v>132</v>
      </c>
      <c r="C8" s="685">
        <v>213454.91429890058</v>
      </c>
      <c r="D8" s="685">
        <f>Production!C34</f>
        <v>0</v>
      </c>
      <c r="E8" s="685">
        <f>Energy!C54</f>
        <v>0</v>
      </c>
      <c r="F8" s="651" t="e">
        <f t="shared" si="0"/>
        <v>#DIV/0!</v>
      </c>
      <c r="H8" t="s">
        <v>133</v>
      </c>
      <c r="I8" s="1724">
        <f>H20</f>
        <v>1.4469453595546631</v>
      </c>
    </row>
    <row r="9" spans="2:10">
      <c r="B9" s="651" t="s">
        <v>134</v>
      </c>
      <c r="C9" s="685">
        <v>249487.56817058849</v>
      </c>
      <c r="D9" s="685">
        <f>Production!C35</f>
        <v>0</v>
      </c>
      <c r="E9" s="685">
        <f>Energy!C55</f>
        <v>0</v>
      </c>
      <c r="F9" s="651" t="e">
        <f t="shared" si="0"/>
        <v>#DIV/0!</v>
      </c>
      <c r="H9" t="s">
        <v>135</v>
      </c>
      <c r="I9" s="592">
        <f>ROUND(E16,0)</f>
        <v>244355</v>
      </c>
    </row>
    <row r="10" spans="2:10">
      <c r="B10" s="651" t="s">
        <v>136</v>
      </c>
      <c r="C10" s="685">
        <v>256079.23661805858</v>
      </c>
      <c r="D10" s="685">
        <f>Production!C36</f>
        <v>0</v>
      </c>
      <c r="E10" s="685">
        <f>Energy!C56</f>
        <v>0</v>
      </c>
      <c r="F10" s="651" t="e">
        <f t="shared" si="0"/>
        <v>#DIV/0!</v>
      </c>
      <c r="H10" t="s">
        <v>137</v>
      </c>
      <c r="I10" s="592">
        <f>ROUND(E20,0)</f>
        <v>3733058</v>
      </c>
    </row>
    <row r="11" spans="2:10">
      <c r="B11" s="651" t="s">
        <v>138</v>
      </c>
      <c r="C11" s="685">
        <v>220615.84494611176</v>
      </c>
      <c r="D11" s="685">
        <f>Production!C37</f>
        <v>0</v>
      </c>
      <c r="E11" s="685">
        <f>Energy!C57</f>
        <v>0</v>
      </c>
      <c r="F11" s="651" t="e">
        <f t="shared" si="0"/>
        <v>#DIV/0!</v>
      </c>
    </row>
    <row r="12" spans="2:10">
      <c r="B12" s="651" t="s">
        <v>139</v>
      </c>
      <c r="C12" s="685">
        <v>193927.6358877648</v>
      </c>
      <c r="D12" s="685">
        <f>Production!C38</f>
        <v>0</v>
      </c>
      <c r="E12" s="685">
        <f>Energy!C58</f>
        <v>0</v>
      </c>
      <c r="F12" s="651" t="e">
        <f t="shared" si="0"/>
        <v>#DIV/0!</v>
      </c>
    </row>
    <row r="13" spans="2:10">
      <c r="B13" s="651" t="s">
        <v>140</v>
      </c>
      <c r="C13" s="685">
        <v>249184.75152876633</v>
      </c>
      <c r="D13" s="685">
        <f>Production!C39</f>
        <v>0</v>
      </c>
      <c r="E13" s="685">
        <f>Energy!C59</f>
        <v>0</v>
      </c>
      <c r="F13" s="651" t="e">
        <f t="shared" si="0"/>
        <v>#DIV/0!</v>
      </c>
      <c r="H13" t="s">
        <v>141</v>
      </c>
    </row>
    <row r="14" spans="2:10">
      <c r="B14" s="651" t="s">
        <v>142</v>
      </c>
      <c r="C14" s="685">
        <v>240448.54022309167</v>
      </c>
      <c r="D14" s="685">
        <f>Production!C40</f>
        <v>0</v>
      </c>
      <c r="E14" s="685">
        <f>Energy!C60</f>
        <v>0</v>
      </c>
      <c r="F14" s="651" t="e">
        <f t="shared" si="0"/>
        <v>#DIV/0!</v>
      </c>
      <c r="H14" t="s">
        <v>143</v>
      </c>
    </row>
    <row r="15" spans="2:10">
      <c r="B15" s="651" t="s">
        <v>144</v>
      </c>
      <c r="C15" s="685">
        <v>280182.31484937598</v>
      </c>
      <c r="D15" s="685">
        <f>Production!C41</f>
        <v>0</v>
      </c>
      <c r="E15" s="685">
        <f>Energy!C61</f>
        <v>0</v>
      </c>
      <c r="F15" s="651" t="e">
        <f t="shared" si="0"/>
        <v>#DIV/0!</v>
      </c>
    </row>
    <row r="16" spans="2:10">
      <c r="B16" s="651" t="s">
        <v>145</v>
      </c>
      <c r="C16" s="612"/>
      <c r="D16" s="1372">
        <f>ROUND(SUM(D4:D15),0)</f>
        <v>167056</v>
      </c>
      <c r="E16" s="1372">
        <f>SUM(E4:E15)</f>
        <v>244355</v>
      </c>
      <c r="F16" s="651">
        <f t="shared" si="0"/>
        <v>1.4627131021932764</v>
      </c>
    </row>
    <row r="19" spans="1:10">
      <c r="C19" t="s">
        <v>146</v>
      </c>
      <c r="D19" t="s">
        <v>147</v>
      </c>
      <c r="E19" t="s">
        <v>137</v>
      </c>
      <c r="F19" t="s">
        <v>148</v>
      </c>
      <c r="H19" t="s">
        <v>149</v>
      </c>
    </row>
    <row r="20" spans="1:10">
      <c r="A20" t="str">
        <f>"YTD" &amp;" "&amp; B20 &amp;"'24"</f>
        <v>YTD January'24</v>
      </c>
      <c r="B20" t="str">
        <f>IFERROR(_xlfn.XLOOKUP(C20,Month!A2:A13,Month!B2:B13),"")</f>
        <v>January</v>
      </c>
      <c r="C20" s="592">
        <f>12-COUNTIF(D4:D15,"0")</f>
        <v>1</v>
      </c>
      <c r="D20" s="475">
        <f>IF(C20=1,SUM(C5:C15),IF(C20=2,SUM(C6:C15),IF(C20=3,SUM(C7:C15),IF(C20=4,SUM(C8:C15),IF(C20=5,SUM(C9:C15),IF(C20=6,SUM(C10:C15),IF(C20=7,SUM(C11:C15),IF(C20=8,SUM(C12:C15),IF(C20=9,SUM(C13:C15),IF(C20=10,SUM(C14:C15),IF(C20=11,C15,0)))))))))))</f>
        <v>2579957.939704217</v>
      </c>
      <c r="E20" s="475">
        <f>E22-E16</f>
        <v>3733058.1687012259</v>
      </c>
      <c r="F20" s="592">
        <f>D16+D20</f>
        <v>2747013.939704217</v>
      </c>
      <c r="G20" s="592"/>
      <c r="H20">
        <f>IFERROR((E20/D20),"")</f>
        <v>1.4469453595546631</v>
      </c>
    </row>
    <row r="21" spans="1:10">
      <c r="E21" s="475"/>
    </row>
    <row r="22" spans="1:10">
      <c r="E22" s="475">
        <f>F20*I3</f>
        <v>3977413.1687012259</v>
      </c>
    </row>
    <row r="24" spans="1:10">
      <c r="D24" t="s">
        <v>150</v>
      </c>
      <c r="E24" s="475">
        <f>E20/(12-C20)</f>
        <v>339368.92442738416</v>
      </c>
    </row>
    <row r="28" spans="1:10">
      <c r="B28" s="665" t="s">
        <v>151</v>
      </c>
    </row>
    <row r="30" spans="1:10">
      <c r="B30" s="651" t="s">
        <v>121</v>
      </c>
      <c r="C30" s="651" t="s">
        <v>122</v>
      </c>
      <c r="D30" s="651" t="s">
        <v>123</v>
      </c>
      <c r="E30" s="651" t="s">
        <v>152</v>
      </c>
      <c r="F30" s="651"/>
      <c r="H30" t="s">
        <v>125</v>
      </c>
      <c r="I30" s="1705">
        <f>'Dashboard Data'!E42</f>
        <v>15.270596569687406</v>
      </c>
      <c r="J30" t="s">
        <v>153</v>
      </c>
    </row>
    <row r="31" spans="1:10">
      <c r="B31" s="651" t="s">
        <v>127</v>
      </c>
      <c r="C31" s="685">
        <v>195604.40135031616</v>
      </c>
      <c r="D31" s="685">
        <f>Production!C30</f>
        <v>167055.83333333334</v>
      </c>
      <c r="E31" s="685">
        <f>'Water-Sum'!J66</f>
        <v>2701</v>
      </c>
      <c r="F31" s="651">
        <f>IFERROR(E31/D31,"")</f>
        <v>1.6168247142921279E-2</v>
      </c>
    </row>
    <row r="32" spans="1:10">
      <c r="B32" s="651" t="s">
        <v>128</v>
      </c>
      <c r="C32" s="685">
        <v>205322.47961479813</v>
      </c>
      <c r="D32" s="685">
        <f>Production!C31</f>
        <v>0</v>
      </c>
      <c r="E32" s="685" t="str">
        <f>'Water-Sum'!J67</f>
        <v/>
      </c>
      <c r="F32" s="651" t="str">
        <f t="shared" ref="F32:F42" si="1">IFERROR(E32/D32,"")</f>
        <v/>
      </c>
    </row>
    <row r="33" spans="2:9">
      <c r="B33" s="651" t="s">
        <v>129</v>
      </c>
      <c r="C33" s="685">
        <v>212184.95832874233</v>
      </c>
      <c r="D33" s="685">
        <f>Production!C32</f>
        <v>0</v>
      </c>
      <c r="E33" s="685" t="str">
        <f>'Water-Sum'!J68</f>
        <v/>
      </c>
      <c r="F33" s="651" t="str">
        <f t="shared" si="1"/>
        <v/>
      </c>
    </row>
    <row r="34" spans="2:9">
      <c r="B34" s="651" t="s">
        <v>130</v>
      </c>
      <c r="C34" s="685">
        <v>259069.69523801841</v>
      </c>
      <c r="D34" s="685">
        <f>Production!C33</f>
        <v>0</v>
      </c>
      <c r="E34" s="685" t="str">
        <f>'Water-Sum'!J69</f>
        <v/>
      </c>
      <c r="F34" s="651" t="str">
        <f t="shared" si="1"/>
        <v/>
      </c>
      <c r="H34" t="s">
        <v>154</v>
      </c>
      <c r="I34" s="1724">
        <f>F43</f>
        <v>1.6168247142921279E-2</v>
      </c>
    </row>
    <row r="35" spans="2:9">
      <c r="B35" s="651" t="s">
        <v>132</v>
      </c>
      <c r="C35" s="685">
        <v>213454.91429890058</v>
      </c>
      <c r="D35" s="685">
        <f>Production!C34</f>
        <v>0</v>
      </c>
      <c r="E35" s="685" t="str">
        <f>'Water-Sum'!J70</f>
        <v/>
      </c>
      <c r="F35" s="651" t="str">
        <f t="shared" si="1"/>
        <v/>
      </c>
      <c r="H35" t="s">
        <v>155</v>
      </c>
      <c r="I35" s="1724">
        <f>H47</f>
        <v>16.258341833371212</v>
      </c>
    </row>
    <row r="36" spans="2:9">
      <c r="B36" s="651" t="s">
        <v>134</v>
      </c>
      <c r="C36" s="685">
        <v>249487.56817058849</v>
      </c>
      <c r="D36" s="685">
        <f>Production!C35</f>
        <v>0</v>
      </c>
      <c r="E36" s="685" t="str">
        <f>'Water-Sum'!J71</f>
        <v/>
      </c>
      <c r="F36" s="651" t="str">
        <f t="shared" si="1"/>
        <v/>
      </c>
      <c r="H36" t="s">
        <v>156</v>
      </c>
      <c r="I36" s="592">
        <f>ROUND(E43,0)</f>
        <v>2701</v>
      </c>
    </row>
    <row r="37" spans="2:9">
      <c r="B37" s="651" t="s">
        <v>136</v>
      </c>
      <c r="C37" s="685">
        <v>256079.23661805858</v>
      </c>
      <c r="D37" s="685">
        <f>Production!C36</f>
        <v>0</v>
      </c>
      <c r="E37" s="685" t="str">
        <f>'Water-Sum'!J72</f>
        <v/>
      </c>
      <c r="F37" s="651" t="str">
        <f t="shared" si="1"/>
        <v/>
      </c>
      <c r="H37" t="s">
        <v>157</v>
      </c>
      <c r="I37" s="592">
        <f>ROUND(E47,0)</f>
        <v>41945838</v>
      </c>
    </row>
    <row r="38" spans="2:9">
      <c r="B38" s="651" t="s">
        <v>138</v>
      </c>
      <c r="C38" s="685">
        <v>220615.84494611176</v>
      </c>
      <c r="D38" s="685">
        <f>Production!C37</f>
        <v>0</v>
      </c>
      <c r="E38" s="685" t="str">
        <f>'Water-Sum'!J73</f>
        <v/>
      </c>
      <c r="F38" s="651" t="str">
        <f t="shared" si="1"/>
        <v/>
      </c>
    </row>
    <row r="39" spans="2:9">
      <c r="B39" s="651" t="s">
        <v>139</v>
      </c>
      <c r="C39" s="685">
        <v>193927.6358877648</v>
      </c>
      <c r="D39" s="685">
        <f>Production!C38</f>
        <v>0</v>
      </c>
      <c r="E39" s="685" t="str">
        <f>'Water-Sum'!J74</f>
        <v/>
      </c>
      <c r="F39" s="651" t="str">
        <f t="shared" si="1"/>
        <v/>
      </c>
    </row>
    <row r="40" spans="2:9">
      <c r="B40" s="651" t="s">
        <v>140</v>
      </c>
      <c r="C40" s="685">
        <v>249184.75152876633</v>
      </c>
      <c r="D40" s="685">
        <f>Production!C39</f>
        <v>0</v>
      </c>
      <c r="E40" s="685" t="str">
        <f>'Water-Sum'!J75</f>
        <v/>
      </c>
      <c r="F40" s="651" t="str">
        <f t="shared" si="1"/>
        <v/>
      </c>
    </row>
    <row r="41" spans="2:9">
      <c r="B41" s="651" t="s">
        <v>142</v>
      </c>
      <c r="C41" s="685">
        <v>240448.54022309167</v>
      </c>
      <c r="D41" s="685">
        <f>Production!C40</f>
        <v>0</v>
      </c>
      <c r="E41" s="685" t="str">
        <f>'Water-Sum'!J76</f>
        <v/>
      </c>
      <c r="F41" s="651" t="str">
        <f t="shared" si="1"/>
        <v/>
      </c>
    </row>
    <row r="42" spans="2:9">
      <c r="B42" s="651" t="s">
        <v>144</v>
      </c>
      <c r="C42" s="685">
        <v>280182.31484937598</v>
      </c>
      <c r="D42" s="685">
        <f>Production!C41</f>
        <v>0</v>
      </c>
      <c r="E42" s="685" t="str">
        <f>'Water-Sum'!J77</f>
        <v/>
      </c>
      <c r="F42" s="651" t="str">
        <f t="shared" si="1"/>
        <v/>
      </c>
    </row>
    <row r="43" spans="2:9">
      <c r="B43" s="651" t="s">
        <v>145</v>
      </c>
      <c r="C43" s="612"/>
      <c r="D43" s="685">
        <f>SUM(D31:D42)</f>
        <v>167055.83333333334</v>
      </c>
      <c r="E43" s="685">
        <f>SUM(E31:E42)</f>
        <v>2701</v>
      </c>
      <c r="F43" s="651">
        <f>IFERROR(E43/D43,"")</f>
        <v>1.6168247142921279E-2</v>
      </c>
    </row>
    <row r="46" spans="2:9">
      <c r="C46" t="s">
        <v>146</v>
      </c>
      <c r="D46" t="s">
        <v>147</v>
      </c>
      <c r="E46" t="s">
        <v>157</v>
      </c>
      <c r="F46" t="s">
        <v>148</v>
      </c>
      <c r="H46" t="s">
        <v>149</v>
      </c>
    </row>
    <row r="47" spans="2:9">
      <c r="C47" s="592">
        <f>12-COUNTIF(D31:D42,"0")</f>
        <v>1</v>
      </c>
      <c r="D47" s="475">
        <f>IF(C47=1,SUM(C32:C42),IF(C47=2,SUM(C33:C42),IF(C47=3,SUM(C34:C42),IF(C47=4,SUM(C35:C42),IF(C47=5,SUM(C36:C42),IF(C47=6,SUM(C37:C42),IF(C47=7,SUM(C38:C42),IF(C47=8,SUM(C39:C42),IF(C47=9,SUM(C40:C42),IF(C47=10,SUM(C41:C42),IF(C47=11,C42,0)))))))))))</f>
        <v>2579957.939704217</v>
      </c>
      <c r="E47" s="475">
        <f>E49-E43</f>
        <v>41945838.099431276</v>
      </c>
      <c r="F47" s="592">
        <f>D43+D47</f>
        <v>2747013.7730375505</v>
      </c>
      <c r="G47" s="592"/>
      <c r="H47">
        <f>IFERROR((E47/D47),"")</f>
        <v>16.258341833371212</v>
      </c>
    </row>
    <row r="48" spans="2:9">
      <c r="E48" s="475"/>
    </row>
    <row r="49" spans="2:10">
      <c r="E49" s="475">
        <f>F47*I30</f>
        <v>41948539.099431276</v>
      </c>
    </row>
    <row r="51" spans="2:10">
      <c r="D51" t="s">
        <v>158</v>
      </c>
      <c r="E51" s="475">
        <f>E47/(12-C47)</f>
        <v>3813258.0090392069</v>
      </c>
    </row>
    <row r="55" spans="2:10">
      <c r="B55" s="665" t="s">
        <v>159</v>
      </c>
    </row>
    <row r="57" spans="2:10">
      <c r="B57" s="651" t="s">
        <v>121</v>
      </c>
      <c r="C57" s="651" t="s">
        <v>122</v>
      </c>
      <c r="D57" s="651" t="s">
        <v>123</v>
      </c>
      <c r="E57" s="651" t="s">
        <v>160</v>
      </c>
      <c r="F57" s="651"/>
      <c r="H57" t="s">
        <v>125</v>
      </c>
      <c r="I57" s="1705">
        <f>'Dashboard Data'!E26</f>
        <v>1.8380796829811974E-2</v>
      </c>
      <c r="J57" t="s">
        <v>161</v>
      </c>
    </row>
    <row r="58" spans="2:10">
      <c r="B58" s="651" t="s">
        <v>127</v>
      </c>
      <c r="C58" s="685">
        <v>195604.40135031616</v>
      </c>
      <c r="D58" s="685">
        <f>Production!C30</f>
        <v>167055.83333333334</v>
      </c>
      <c r="E58" s="685">
        <f>Energy!F50</f>
        <v>3442.9850746268658</v>
      </c>
      <c r="F58" s="651">
        <f>IFERROR(E58/D58,"")</f>
        <v>2.0609786596059394E-2</v>
      </c>
    </row>
    <row r="59" spans="2:10">
      <c r="B59" s="651" t="s">
        <v>128</v>
      </c>
      <c r="C59" s="685">
        <v>205322.47961479813</v>
      </c>
      <c r="D59" s="685">
        <f>Production!C31</f>
        <v>0</v>
      </c>
      <c r="E59" s="685">
        <f>Energy!F51</f>
        <v>0</v>
      </c>
      <c r="F59" s="651" t="str">
        <f t="shared" ref="F59:F69" si="2">IFERROR(E59/D59,"")</f>
        <v/>
      </c>
    </row>
    <row r="60" spans="2:10">
      <c r="B60" s="651" t="s">
        <v>129</v>
      </c>
      <c r="C60" s="685">
        <v>212184.95832874233</v>
      </c>
      <c r="D60" s="685">
        <f>Production!C32</f>
        <v>0</v>
      </c>
      <c r="E60" s="685">
        <f>Energy!F52</f>
        <v>0</v>
      </c>
      <c r="F60" s="651" t="str">
        <f t="shared" si="2"/>
        <v/>
      </c>
    </row>
    <row r="61" spans="2:10">
      <c r="B61" s="651" t="s">
        <v>130</v>
      </c>
      <c r="C61" s="685">
        <v>259069.69523801841</v>
      </c>
      <c r="D61" s="685">
        <f>Production!C33</f>
        <v>0</v>
      </c>
      <c r="E61" s="685">
        <f>Energy!F53</f>
        <v>0</v>
      </c>
      <c r="F61" s="651" t="str">
        <f t="shared" si="2"/>
        <v/>
      </c>
      <c r="H61" t="s">
        <v>162</v>
      </c>
      <c r="I61" s="1724">
        <f>F70</f>
        <v>2.0609786596059394E-2</v>
      </c>
    </row>
    <row r="62" spans="2:10">
      <c r="B62" s="651" t="s">
        <v>132</v>
      </c>
      <c r="C62" s="685">
        <v>213454.91429890058</v>
      </c>
      <c r="D62" s="685">
        <f>Production!C34</f>
        <v>0</v>
      </c>
      <c r="E62" s="685">
        <f>Energy!F54</f>
        <v>0</v>
      </c>
      <c r="F62" s="651" t="str">
        <f t="shared" si="2"/>
        <v/>
      </c>
      <c r="H62" t="s">
        <v>163</v>
      </c>
      <c r="I62" s="1724">
        <f>H74</f>
        <v>1.8236466669555713E-2</v>
      </c>
    </row>
    <row r="63" spans="2:10">
      <c r="B63" s="651" t="s">
        <v>134</v>
      </c>
      <c r="C63" s="685">
        <v>249487.56817058849</v>
      </c>
      <c r="D63" s="685">
        <f>Production!C35</f>
        <v>0</v>
      </c>
      <c r="E63" s="685">
        <f>Energy!F55</f>
        <v>0</v>
      </c>
      <c r="F63" s="651" t="str">
        <f t="shared" si="2"/>
        <v/>
      </c>
      <c r="H63" t="s">
        <v>164</v>
      </c>
      <c r="I63" s="592">
        <f>ROUND(E70,0)</f>
        <v>3443</v>
      </c>
    </row>
    <row r="64" spans="2:10">
      <c r="B64" s="651" t="s">
        <v>136</v>
      </c>
      <c r="C64" s="685">
        <v>256079.23661805858</v>
      </c>
      <c r="D64" s="685">
        <f>Production!C36</f>
        <v>0</v>
      </c>
      <c r="E64" s="685">
        <f>Energy!F56</f>
        <v>0</v>
      </c>
      <c r="F64" s="651" t="str">
        <f t="shared" si="2"/>
        <v/>
      </c>
      <c r="H64" t="s">
        <v>165</v>
      </c>
      <c r="I64" s="592">
        <f>ROUND(E74,0)</f>
        <v>47049</v>
      </c>
    </row>
    <row r="65" spans="2:8">
      <c r="B65" s="651" t="s">
        <v>138</v>
      </c>
      <c r="C65" s="685">
        <v>220615.84494611176</v>
      </c>
      <c r="D65" s="685">
        <f>Production!C37</f>
        <v>0</v>
      </c>
      <c r="E65" s="685">
        <f>Energy!F57</f>
        <v>0</v>
      </c>
      <c r="F65" s="651" t="str">
        <f t="shared" si="2"/>
        <v/>
      </c>
    </row>
    <row r="66" spans="2:8">
      <c r="B66" s="651" t="s">
        <v>139</v>
      </c>
      <c r="C66" s="685">
        <v>193927.6358877648</v>
      </c>
      <c r="D66" s="685">
        <f>Production!C38</f>
        <v>0</v>
      </c>
      <c r="E66" s="685">
        <f>Energy!F58</f>
        <v>0</v>
      </c>
      <c r="F66" s="651" t="str">
        <f t="shared" si="2"/>
        <v/>
      </c>
    </row>
    <row r="67" spans="2:8">
      <c r="B67" s="651" t="s">
        <v>140</v>
      </c>
      <c r="C67" s="685">
        <v>249184.75152876633</v>
      </c>
      <c r="D67" s="685">
        <f>Production!C39</f>
        <v>0</v>
      </c>
      <c r="E67" s="685">
        <f>Energy!F59</f>
        <v>0</v>
      </c>
      <c r="F67" s="651" t="str">
        <f t="shared" si="2"/>
        <v/>
      </c>
    </row>
    <row r="68" spans="2:8">
      <c r="B68" s="651" t="s">
        <v>142</v>
      </c>
      <c r="C68" s="685">
        <v>240448.54022309167</v>
      </c>
      <c r="D68" s="685">
        <f>Production!C40</f>
        <v>0</v>
      </c>
      <c r="E68" s="685">
        <f>Energy!F60</f>
        <v>0</v>
      </c>
      <c r="F68" s="651" t="str">
        <f t="shared" si="2"/>
        <v/>
      </c>
    </row>
    <row r="69" spans="2:8">
      <c r="B69" s="651" t="s">
        <v>144</v>
      </c>
      <c r="C69" s="685">
        <v>280182.31484937598</v>
      </c>
      <c r="D69" s="685">
        <f>Production!C41</f>
        <v>0</v>
      </c>
      <c r="E69" s="685">
        <f>Energy!F61</f>
        <v>0</v>
      </c>
      <c r="F69" s="651" t="str">
        <f t="shared" si="2"/>
        <v/>
      </c>
    </row>
    <row r="70" spans="2:8">
      <c r="B70" s="651" t="s">
        <v>145</v>
      </c>
      <c r="C70" s="612"/>
      <c r="D70" s="685">
        <f>SUM(D58:D69)</f>
        <v>167055.83333333334</v>
      </c>
      <c r="E70" s="685">
        <f>SUM(E58:E69)</f>
        <v>3442.9850746268658</v>
      </c>
      <c r="F70" s="651">
        <f>IFERROR(E70/D70,"")</f>
        <v>2.0609786596059394E-2</v>
      </c>
    </row>
    <row r="73" spans="2:8">
      <c r="C73" t="s">
        <v>146</v>
      </c>
      <c r="D73" t="s">
        <v>147</v>
      </c>
      <c r="E73" t="s">
        <v>165</v>
      </c>
      <c r="F73" t="s">
        <v>148</v>
      </c>
      <c r="H73" t="s">
        <v>149</v>
      </c>
    </row>
    <row r="74" spans="2:8">
      <c r="C74" s="592">
        <f>12-COUNTIF(D58:D69,"0")</f>
        <v>1</v>
      </c>
      <c r="D74" s="475">
        <f>IF(C74=1,SUM(C59:C69),IF(C74=2,SUM(C60:C69),IF(C74=3,SUM(C61:C69),IF(C74=4,SUM(C62:C69),IF(C74=5,SUM(C63:C69),IF(C74=6,SUM(C64:C69),IF(C74=7,SUM(C65:C69),IF(C74=8,SUM(C66:C69),IF(C74=9,SUM(C67:C69),IF(C74=10,SUM(C68:C69),IF(C74=11,C69,0)))))))))))</f>
        <v>2579957.939704217</v>
      </c>
      <c r="E74" s="475">
        <f>E76-E70</f>
        <v>47049.316976271577</v>
      </c>
      <c r="F74" s="592">
        <f>D70+D74</f>
        <v>2747013.7730375505</v>
      </c>
      <c r="G74" s="592"/>
      <c r="H74">
        <f>IFERROR((E74/D74),"")</f>
        <v>1.8236466669555713E-2</v>
      </c>
    </row>
    <row r="75" spans="2:8">
      <c r="E75" s="475"/>
    </row>
    <row r="76" spans="2:8">
      <c r="E76" s="475">
        <f>F74*I57</f>
        <v>50492.302050898441</v>
      </c>
    </row>
    <row r="78" spans="2:8">
      <c r="D78" t="s">
        <v>158</v>
      </c>
      <c r="E78" s="475">
        <f>E74/(12-C74)</f>
        <v>4277.2106342065072</v>
      </c>
    </row>
    <row r="81" spans="2:10">
      <c r="B81" s="665" t="s">
        <v>166</v>
      </c>
    </row>
    <row r="83" spans="2:10">
      <c r="B83" s="651" t="s">
        <v>121</v>
      </c>
      <c r="C83" s="651" t="s">
        <v>122</v>
      </c>
      <c r="D83" s="651" t="s">
        <v>123</v>
      </c>
      <c r="E83" s="651" t="s">
        <v>167</v>
      </c>
      <c r="F83" s="651"/>
      <c r="H83" t="s">
        <v>125</v>
      </c>
      <c r="I83" s="1706">
        <f>'Dashboard Data'!E92</f>
        <v>0.20949131300791995</v>
      </c>
      <c r="J83" t="s">
        <v>168</v>
      </c>
    </row>
    <row r="84" spans="2:10">
      <c r="B84" s="651" t="s">
        <v>127</v>
      </c>
      <c r="C84" s="685">
        <v>195604.40135031616</v>
      </c>
      <c r="D84" s="685">
        <f>Production!C30</f>
        <v>167055.83333333334</v>
      </c>
      <c r="E84" s="685">
        <f>Product!H33</f>
        <v>38881.78</v>
      </c>
      <c r="F84" s="651">
        <f>IFERROR(E84/D84,"")</f>
        <v>0.23274721525238565</v>
      </c>
    </row>
    <row r="85" spans="2:10">
      <c r="B85" s="651" t="s">
        <v>128</v>
      </c>
      <c r="C85" s="685">
        <v>205322.47961479813</v>
      </c>
      <c r="D85" s="685">
        <f>Production!C31</f>
        <v>0</v>
      </c>
      <c r="E85" s="685" t="str">
        <f>Product!H34</f>
        <v/>
      </c>
      <c r="F85" s="651" t="str">
        <f t="shared" ref="F85:F95" si="3">IFERROR(E85/D85,"")</f>
        <v/>
      </c>
    </row>
    <row r="86" spans="2:10">
      <c r="B86" s="651" t="s">
        <v>129</v>
      </c>
      <c r="C86" s="685">
        <v>212184.95832874233</v>
      </c>
      <c r="D86" s="685">
        <f>Production!C32</f>
        <v>0</v>
      </c>
      <c r="E86" s="685" t="str">
        <f>Product!H35</f>
        <v/>
      </c>
      <c r="F86" s="651" t="str">
        <f t="shared" si="3"/>
        <v/>
      </c>
    </row>
    <row r="87" spans="2:10">
      <c r="B87" s="651" t="s">
        <v>130</v>
      </c>
      <c r="C87" s="685">
        <v>259069.69523801841</v>
      </c>
      <c r="D87" s="685">
        <f>Production!C33</f>
        <v>0</v>
      </c>
      <c r="E87" s="685" t="str">
        <f>Product!H36</f>
        <v/>
      </c>
      <c r="F87" s="651" t="str">
        <f t="shared" si="3"/>
        <v/>
      </c>
      <c r="H87" t="s">
        <v>169</v>
      </c>
      <c r="I87" s="1724">
        <f>F96</f>
        <v>0.23274721525238565</v>
      </c>
    </row>
    <row r="88" spans="2:10">
      <c r="B88" s="651" t="s">
        <v>132</v>
      </c>
      <c r="C88" s="685">
        <v>213454.91429890058</v>
      </c>
      <c r="D88" s="685">
        <f>Production!C34</f>
        <v>0</v>
      </c>
      <c r="E88" s="685" t="str">
        <f>Product!H37</f>
        <v/>
      </c>
      <c r="F88" s="651" t="str">
        <f t="shared" si="3"/>
        <v/>
      </c>
      <c r="H88" t="s">
        <v>170</v>
      </c>
      <c r="I88" s="1724">
        <f>H100</f>
        <v>0.20798546127693665</v>
      </c>
    </row>
    <row r="89" spans="2:10">
      <c r="B89" s="651" t="s">
        <v>134</v>
      </c>
      <c r="C89" s="685">
        <v>249487.56817058849</v>
      </c>
      <c r="D89" s="685">
        <f>Production!C35</f>
        <v>0</v>
      </c>
      <c r="E89" s="685" t="str">
        <f>Product!H38</f>
        <v/>
      </c>
      <c r="F89" s="651" t="str">
        <f t="shared" si="3"/>
        <v/>
      </c>
      <c r="H89" t="s">
        <v>171</v>
      </c>
      <c r="I89" s="592">
        <f>ROUND(E96,0)</f>
        <v>38882</v>
      </c>
    </row>
    <row r="90" spans="2:10">
      <c r="B90" s="651" t="s">
        <v>136</v>
      </c>
      <c r="C90" s="685">
        <v>256079.23661805858</v>
      </c>
      <c r="D90" s="685">
        <f>Production!C36</f>
        <v>0</v>
      </c>
      <c r="E90" s="685" t="str">
        <f>Product!H39</f>
        <v/>
      </c>
      <c r="F90" s="651" t="str">
        <f t="shared" si="3"/>
        <v/>
      </c>
      <c r="H90" t="s">
        <v>172</v>
      </c>
      <c r="I90" s="592">
        <f>ROUND(E100,0)</f>
        <v>536594</v>
      </c>
    </row>
    <row r="91" spans="2:10">
      <c r="B91" s="651" t="s">
        <v>138</v>
      </c>
      <c r="C91" s="685">
        <v>220615.84494611176</v>
      </c>
      <c r="D91" s="685">
        <f>Production!C37</f>
        <v>0</v>
      </c>
      <c r="E91" s="685" t="str">
        <f>Product!H40</f>
        <v/>
      </c>
      <c r="F91" s="651" t="str">
        <f t="shared" si="3"/>
        <v/>
      </c>
    </row>
    <row r="92" spans="2:10">
      <c r="B92" s="651" t="s">
        <v>139</v>
      </c>
      <c r="C92" s="685">
        <v>193927.6358877648</v>
      </c>
      <c r="D92" s="685">
        <f>Production!C38</f>
        <v>0</v>
      </c>
      <c r="E92" s="685" t="str">
        <f>Product!H41</f>
        <v/>
      </c>
      <c r="F92" s="651" t="str">
        <f t="shared" si="3"/>
        <v/>
      </c>
    </row>
    <row r="93" spans="2:10">
      <c r="B93" s="651" t="s">
        <v>140</v>
      </c>
      <c r="C93" s="685">
        <v>249184.75152876633</v>
      </c>
      <c r="D93" s="685">
        <f>Production!C39</f>
        <v>0</v>
      </c>
      <c r="E93" s="685" t="str">
        <f>Product!H42</f>
        <v/>
      </c>
      <c r="F93" s="651" t="str">
        <f t="shared" si="3"/>
        <v/>
      </c>
    </row>
    <row r="94" spans="2:10">
      <c r="B94" s="651" t="s">
        <v>142</v>
      </c>
      <c r="C94" s="685">
        <v>240448.54022309167</v>
      </c>
      <c r="D94" s="685">
        <f>Production!C40</f>
        <v>0</v>
      </c>
      <c r="E94" s="685" t="str">
        <f>Product!H43</f>
        <v/>
      </c>
      <c r="F94" s="651" t="str">
        <f t="shared" si="3"/>
        <v/>
      </c>
    </row>
    <row r="95" spans="2:10">
      <c r="B95" s="651" t="s">
        <v>144</v>
      </c>
      <c r="C95" s="685">
        <v>280182.31484937598</v>
      </c>
      <c r="D95" s="685">
        <f>Production!C41</f>
        <v>0</v>
      </c>
      <c r="E95" s="685" t="str">
        <f>Product!H44</f>
        <v/>
      </c>
      <c r="F95" s="651" t="str">
        <f t="shared" si="3"/>
        <v/>
      </c>
    </row>
    <row r="96" spans="2:10">
      <c r="B96" s="651" t="s">
        <v>145</v>
      </c>
      <c r="C96" s="612"/>
      <c r="D96" s="685">
        <f>SUM(D84:D95)</f>
        <v>167055.83333333334</v>
      </c>
      <c r="E96" s="685">
        <f>SUM(E84:E95)</f>
        <v>38881.78</v>
      </c>
      <c r="F96" s="651">
        <f>IFERROR(E96/D96,"")</f>
        <v>0.23274721525238565</v>
      </c>
    </row>
    <row r="99" spans="2:10">
      <c r="C99" t="s">
        <v>146</v>
      </c>
      <c r="D99" t="s">
        <v>147</v>
      </c>
      <c r="E99" t="s">
        <v>172</v>
      </c>
      <c r="F99" t="s">
        <v>148</v>
      </c>
      <c r="H99" t="s">
        <v>149</v>
      </c>
    </row>
    <row r="100" spans="2:10">
      <c r="C100" s="592">
        <f>12-COUNTIF(D84:D95,"0")</f>
        <v>1</v>
      </c>
      <c r="D100" s="475">
        <f>IF(C100=1,SUM(C85:C95),IF(C100=2,SUM(C86:C95),IF(C100=3,SUM(C87:C95),IF(C100=4,SUM(C88:C95),IF(C100=5,SUM(C89:C95),IF(C100=6,SUM(C90:C95),IF(C100=7,SUM(C91:C95),IF(C100=8,SUM(C92:C95),IF(C100=9,SUM(C93:C95),IF(C100=10,SUM(C94:C95),IF(C100=11,C95,0)))))))))))</f>
        <v>2579957.939704217</v>
      </c>
      <c r="E100" s="475">
        <f>E102-E96</f>
        <v>536593.74216447666</v>
      </c>
      <c r="F100" s="592">
        <f>D96+D100</f>
        <v>2747013.7730375505</v>
      </c>
      <c r="G100" s="592"/>
      <c r="H100">
        <f>IFERROR((E100/D100),"")</f>
        <v>0.20798546127693665</v>
      </c>
    </row>
    <row r="101" spans="2:10">
      <c r="E101" s="475"/>
    </row>
    <row r="102" spans="2:10">
      <c r="E102" s="475">
        <f>F100*I83</f>
        <v>575475.52216447669</v>
      </c>
    </row>
    <row r="104" spans="2:10">
      <c r="D104" t="s">
        <v>173</v>
      </c>
      <c r="E104" s="475">
        <f>E100/(12-C100)</f>
        <v>48781.249287679697</v>
      </c>
    </row>
    <row r="107" spans="2:10">
      <c r="B107" s="665" t="s">
        <v>174</v>
      </c>
    </row>
    <row r="109" spans="2:10">
      <c r="B109" s="651" t="s">
        <v>121</v>
      </c>
      <c r="C109" s="651" t="s">
        <v>122</v>
      </c>
      <c r="D109" s="651" t="s">
        <v>123</v>
      </c>
      <c r="E109" s="651" t="s">
        <v>167</v>
      </c>
      <c r="F109" s="651"/>
      <c r="H109" t="s">
        <v>125</v>
      </c>
      <c r="I109" s="1706">
        <f>'Dashboard Data'!E105</f>
        <v>0.20437873524724873</v>
      </c>
      <c r="J109" t="s">
        <v>168</v>
      </c>
    </row>
    <row r="110" spans="2:10">
      <c r="B110" s="651" t="s">
        <v>127</v>
      </c>
      <c r="C110" s="685">
        <v>195604.40135031616</v>
      </c>
      <c r="D110" s="685">
        <f>Production!C30</f>
        <v>167055.83333333334</v>
      </c>
      <c r="E110" s="685">
        <f>Product!Q33</f>
        <v>36266.01</v>
      </c>
      <c r="F110" s="651">
        <f>IFERROR(E110/D110,"")</f>
        <v>0.21708915681882804</v>
      </c>
    </row>
    <row r="111" spans="2:10">
      <c r="B111" s="651" t="s">
        <v>128</v>
      </c>
      <c r="C111" s="685">
        <v>205322.47961479813</v>
      </c>
      <c r="D111" s="685">
        <f>Production!C31</f>
        <v>0</v>
      </c>
      <c r="E111" s="685" t="str">
        <f>Product!Q34</f>
        <v/>
      </c>
      <c r="F111" s="651" t="str">
        <f t="shared" ref="F111:F121" si="4">IFERROR(E111/D111,"")</f>
        <v/>
      </c>
    </row>
    <row r="112" spans="2:10">
      <c r="B112" s="651" t="s">
        <v>129</v>
      </c>
      <c r="C112" s="685">
        <v>212184.95832874233</v>
      </c>
      <c r="D112" s="685">
        <f>Production!C32</f>
        <v>0</v>
      </c>
      <c r="E112" s="685" t="str">
        <f>Product!Q35</f>
        <v/>
      </c>
      <c r="F112" s="651" t="str">
        <f t="shared" si="4"/>
        <v/>
      </c>
    </row>
    <row r="113" spans="2:9">
      <c r="B113" s="651" t="s">
        <v>130</v>
      </c>
      <c r="C113" s="685">
        <v>259069.69523801841</v>
      </c>
      <c r="D113" s="685">
        <f>Production!C33</f>
        <v>0</v>
      </c>
      <c r="E113" s="685" t="str">
        <f>Product!Q36</f>
        <v/>
      </c>
      <c r="F113" s="651" t="str">
        <f t="shared" si="4"/>
        <v/>
      </c>
      <c r="H113" t="s">
        <v>169</v>
      </c>
      <c r="I113" s="1724">
        <f>F122</f>
        <v>0.21708915681882804</v>
      </c>
    </row>
    <row r="114" spans="2:9">
      <c r="B114" s="651" t="s">
        <v>132</v>
      </c>
      <c r="C114" s="685">
        <v>213454.91429890058</v>
      </c>
      <c r="D114" s="685">
        <f>Production!C34</f>
        <v>0</v>
      </c>
      <c r="E114" s="685" t="str">
        <f>Product!Q37</f>
        <v/>
      </c>
      <c r="F114" s="651" t="str">
        <f t="shared" si="4"/>
        <v/>
      </c>
      <c r="H114" t="s">
        <v>170</v>
      </c>
      <c r="I114" s="1724">
        <f>H126</f>
        <v>0.203555717927865</v>
      </c>
    </row>
    <row r="115" spans="2:9">
      <c r="B115" s="651" t="s">
        <v>134</v>
      </c>
      <c r="C115" s="685">
        <v>249487.56817058849</v>
      </c>
      <c r="D115" s="685">
        <f>Production!C35</f>
        <v>0</v>
      </c>
      <c r="E115" s="685" t="str">
        <f>Product!Q38</f>
        <v/>
      </c>
      <c r="F115" s="651" t="str">
        <f t="shared" si="4"/>
        <v/>
      </c>
      <c r="H115" t="s">
        <v>171</v>
      </c>
      <c r="I115" s="592">
        <f>ROUND(E122,0)</f>
        <v>36266</v>
      </c>
    </row>
    <row r="116" spans="2:9">
      <c r="B116" s="651" t="s">
        <v>136</v>
      </c>
      <c r="C116" s="685">
        <v>256079.23661805858</v>
      </c>
      <c r="D116" s="685">
        <f>Production!C36</f>
        <v>0</v>
      </c>
      <c r="E116" s="685" t="str">
        <f>Product!Q39</f>
        <v/>
      </c>
      <c r="F116" s="651" t="str">
        <f t="shared" si="4"/>
        <v/>
      </c>
      <c r="H116" t="s">
        <v>172</v>
      </c>
      <c r="I116" s="592">
        <f>ROUND(E126,0)</f>
        <v>525165</v>
      </c>
    </row>
    <row r="117" spans="2:9">
      <c r="B117" s="651" t="s">
        <v>138</v>
      </c>
      <c r="C117" s="685">
        <v>220615.84494611176</v>
      </c>
      <c r="D117" s="685">
        <f>Production!C37</f>
        <v>0</v>
      </c>
      <c r="E117" s="685" t="str">
        <f>Product!Q40</f>
        <v/>
      </c>
      <c r="F117" s="651" t="str">
        <f t="shared" si="4"/>
        <v/>
      </c>
    </row>
    <row r="118" spans="2:9">
      <c r="B118" s="651" t="s">
        <v>139</v>
      </c>
      <c r="C118" s="685">
        <v>193927.6358877648</v>
      </c>
      <c r="D118" s="685">
        <f>Production!C38</f>
        <v>0</v>
      </c>
      <c r="E118" s="685" t="str">
        <f>Product!Q41</f>
        <v/>
      </c>
      <c r="F118" s="651" t="str">
        <f t="shared" si="4"/>
        <v/>
      </c>
    </row>
    <row r="119" spans="2:9">
      <c r="B119" s="651" t="s">
        <v>140</v>
      </c>
      <c r="C119" s="685">
        <v>249184.75152876633</v>
      </c>
      <c r="D119" s="685">
        <f>Production!C39</f>
        <v>0</v>
      </c>
      <c r="E119" s="685" t="str">
        <f>Product!Q42</f>
        <v/>
      </c>
      <c r="F119" s="651" t="str">
        <f t="shared" si="4"/>
        <v/>
      </c>
    </row>
    <row r="120" spans="2:9">
      <c r="B120" s="651" t="s">
        <v>142</v>
      </c>
      <c r="C120" s="685">
        <v>240448.54022309167</v>
      </c>
      <c r="D120" s="685">
        <f>Production!C40</f>
        <v>0</v>
      </c>
      <c r="E120" s="685" t="str">
        <f>Product!Q43</f>
        <v/>
      </c>
      <c r="F120" s="651" t="str">
        <f t="shared" si="4"/>
        <v/>
      </c>
    </row>
    <row r="121" spans="2:9">
      <c r="B121" s="651" t="s">
        <v>144</v>
      </c>
      <c r="C121" s="685">
        <v>280182.31484937598</v>
      </c>
      <c r="D121" s="685">
        <f>Production!C41</f>
        <v>0</v>
      </c>
      <c r="E121" s="685" t="str">
        <f>Product!Q44</f>
        <v/>
      </c>
      <c r="F121" s="651" t="str">
        <f t="shared" si="4"/>
        <v/>
      </c>
    </row>
    <row r="122" spans="2:9">
      <c r="B122" s="651" t="s">
        <v>145</v>
      </c>
      <c r="C122" s="612"/>
      <c r="D122" s="685">
        <f>SUM(D110:D121)</f>
        <v>167055.83333333334</v>
      </c>
      <c r="E122" s="685">
        <f>SUM(E110:E121)</f>
        <v>36266.01</v>
      </c>
      <c r="F122" s="651">
        <f>IFERROR(E122/D122,"")</f>
        <v>0.21708915681882804</v>
      </c>
    </row>
    <row r="125" spans="2:9">
      <c r="C125" t="s">
        <v>146</v>
      </c>
      <c r="D125" t="s">
        <v>147</v>
      </c>
      <c r="E125" t="s">
        <v>172</v>
      </c>
      <c r="F125" t="s">
        <v>148</v>
      </c>
      <c r="H125" t="s">
        <v>149</v>
      </c>
    </row>
    <row r="126" spans="2:9">
      <c r="C126" s="592">
        <f>12-COUNTIF(D110:D121,"0")</f>
        <v>1</v>
      </c>
      <c r="D126" s="475">
        <f>IF(C126=1,SUM(C111:C121),IF(C126=2,SUM(C112:C121),IF(C126=3,SUM(C113:C121),IF(C126=4,SUM(C114:C121),IF(C126=5,SUM(C115:C121),IF(C126=6,SUM(C116:C121),IF(C126=7,SUM(C117:C121),IF(C126=8,SUM(C118:C121),IF(C126=9,SUM(C119:C121),IF(C126=10,SUM(C120:C121),IF(C126=11,C121,0)))))))))))</f>
        <v>2579957.939704217</v>
      </c>
      <c r="E126" s="475">
        <f>E128-E122</f>
        <v>525165.19064018736</v>
      </c>
      <c r="F126" s="592">
        <f>D122+D126</f>
        <v>2747013.7730375505</v>
      </c>
      <c r="G126" s="592"/>
      <c r="H126">
        <f>IFERROR((E126/D126),"")</f>
        <v>0.203555717927865</v>
      </c>
    </row>
    <row r="127" spans="2:9">
      <c r="E127" s="475"/>
    </row>
    <row r="128" spans="2:9">
      <c r="E128" s="475">
        <f>F126*I109</f>
        <v>561431.20064018737</v>
      </c>
    </row>
    <row r="130" spans="2:10">
      <c r="D130" t="s">
        <v>173</v>
      </c>
      <c r="E130" s="475">
        <f>E126/(12-C126)</f>
        <v>47742.290058198851</v>
      </c>
    </row>
    <row r="133" spans="2:10">
      <c r="B133" s="665" t="s">
        <v>175</v>
      </c>
    </row>
    <row r="135" spans="2:10">
      <c r="B135" s="651" t="s">
        <v>121</v>
      </c>
      <c r="C135" s="651" t="s">
        <v>122</v>
      </c>
      <c r="D135" s="651" t="s">
        <v>123</v>
      </c>
      <c r="E135" s="651" t="s">
        <v>176</v>
      </c>
      <c r="F135" s="651"/>
      <c r="H135" t="s">
        <v>125</v>
      </c>
      <c r="I135" s="1706">
        <f>'Dashboard Data'!E75</f>
        <v>7.2984916366155872</v>
      </c>
      <c r="J135" t="s">
        <v>177</v>
      </c>
    </row>
    <row r="136" spans="2:10">
      <c r="B136" s="651" t="s">
        <v>127</v>
      </c>
      <c r="C136" s="685">
        <v>195604.40135031616</v>
      </c>
      <c r="D136" s="685">
        <f>Production!C30</f>
        <v>167055.83333333334</v>
      </c>
      <c r="E136" s="685">
        <f>IFERROR(Packaging!F36*1000," ")</f>
        <v>1570329.3314324324</v>
      </c>
      <c r="F136" s="651">
        <f>IFERROR(E136/D136,"")</f>
        <v>9.4000269257230311</v>
      </c>
    </row>
    <row r="137" spans="2:10">
      <c r="B137" s="651" t="s">
        <v>128</v>
      </c>
      <c r="C137" s="685">
        <v>205322.47961479813</v>
      </c>
      <c r="D137" s="685">
        <f>Production!C31</f>
        <v>0</v>
      </c>
      <c r="E137" s="685" t="str">
        <f>IFERROR(Packaging!F37*1000," ")</f>
        <v xml:space="preserve"> </v>
      </c>
      <c r="F137" s="651" t="str">
        <f t="shared" ref="F137:F147" si="5">IFERROR(E137/D137,"")</f>
        <v/>
      </c>
    </row>
    <row r="138" spans="2:10">
      <c r="B138" s="651" t="s">
        <v>129</v>
      </c>
      <c r="C138" s="685">
        <v>212184.95832874233</v>
      </c>
      <c r="D138" s="685">
        <f>Production!C32</f>
        <v>0</v>
      </c>
      <c r="E138" s="685" t="str">
        <f>IFERROR(Packaging!F38*1000," ")</f>
        <v xml:space="preserve"> </v>
      </c>
      <c r="F138" s="651" t="str">
        <f t="shared" si="5"/>
        <v/>
      </c>
    </row>
    <row r="139" spans="2:10">
      <c r="B139" s="651" t="s">
        <v>130</v>
      </c>
      <c r="C139" s="685">
        <v>259069.69523801841</v>
      </c>
      <c r="D139" s="685">
        <f>Production!C33</f>
        <v>0</v>
      </c>
      <c r="E139" s="685" t="str">
        <f>IFERROR(Packaging!F39*1000," ")</f>
        <v xml:space="preserve"> </v>
      </c>
      <c r="F139" s="651" t="str">
        <f t="shared" si="5"/>
        <v/>
      </c>
      <c r="H139" t="s">
        <v>178</v>
      </c>
      <c r="I139" s="1724">
        <f>F148</f>
        <v>9.4000269257230311</v>
      </c>
    </row>
    <row r="140" spans="2:10">
      <c r="B140" s="651" t="s">
        <v>132</v>
      </c>
      <c r="C140" s="685">
        <v>213454.91429890058</v>
      </c>
      <c r="D140" s="685">
        <f>Production!C34</f>
        <v>0</v>
      </c>
      <c r="E140" s="685" t="str">
        <f>IFERROR(Packaging!F40*1000," ")</f>
        <v xml:space="preserve"> </v>
      </c>
      <c r="F140" s="651" t="str">
        <f t="shared" si="5"/>
        <v/>
      </c>
      <c r="H140" t="s">
        <v>179</v>
      </c>
      <c r="I140" s="1724">
        <f>H152</f>
        <v>7.162414329463247</v>
      </c>
    </row>
    <row r="141" spans="2:10">
      <c r="B141" s="651" t="s">
        <v>134</v>
      </c>
      <c r="C141" s="685">
        <v>249487.56817058849</v>
      </c>
      <c r="D141" s="685">
        <f>Production!C35</f>
        <v>0</v>
      </c>
      <c r="E141" s="685" t="str">
        <f>IFERROR(Packaging!F41*1000," ")</f>
        <v xml:space="preserve"> </v>
      </c>
      <c r="F141" s="651" t="str">
        <f t="shared" si="5"/>
        <v/>
      </c>
      <c r="H141" t="s">
        <v>180</v>
      </c>
      <c r="I141" s="592">
        <f>ROUND(E148,0)</f>
        <v>1570329</v>
      </c>
    </row>
    <row r="142" spans="2:10">
      <c r="B142" s="651" t="s">
        <v>136</v>
      </c>
      <c r="C142" s="685">
        <v>256079.23661805858</v>
      </c>
      <c r="D142" s="685">
        <f>Production!C36</f>
        <v>0</v>
      </c>
      <c r="E142" s="685" t="str">
        <f>IFERROR(Packaging!F42*1000," ")</f>
        <v xml:space="preserve"> </v>
      </c>
      <c r="F142" s="651" t="str">
        <f t="shared" si="5"/>
        <v/>
      </c>
      <c r="H142" t="s">
        <v>181</v>
      </c>
      <c r="I142" s="592">
        <f>ROUND(E152,0)</f>
        <v>18478728</v>
      </c>
    </row>
    <row r="143" spans="2:10">
      <c r="B143" s="651" t="s">
        <v>138</v>
      </c>
      <c r="C143" s="685">
        <v>220615.84494611176</v>
      </c>
      <c r="D143" s="685">
        <f>Production!C37</f>
        <v>0</v>
      </c>
      <c r="E143" s="685" t="str">
        <f>IFERROR(Packaging!F43*1000," ")</f>
        <v xml:space="preserve"> </v>
      </c>
      <c r="F143" s="651" t="str">
        <f t="shared" si="5"/>
        <v/>
      </c>
    </row>
    <row r="144" spans="2:10">
      <c r="B144" s="651" t="s">
        <v>139</v>
      </c>
      <c r="C144" s="685">
        <v>193927.6358877648</v>
      </c>
      <c r="D144" s="685">
        <f>Production!C38</f>
        <v>0</v>
      </c>
      <c r="E144" s="685" t="str">
        <f>IFERROR(Packaging!F44*1000," ")</f>
        <v xml:space="preserve"> </v>
      </c>
      <c r="F144" s="651" t="str">
        <f t="shared" si="5"/>
        <v/>
      </c>
    </row>
    <row r="145" spans="2:8">
      <c r="B145" s="651" t="s">
        <v>140</v>
      </c>
      <c r="C145" s="685">
        <v>249184.75152876633</v>
      </c>
      <c r="D145" s="685">
        <f>Production!C39</f>
        <v>0</v>
      </c>
      <c r="E145" s="685" t="str">
        <f>IFERROR(Packaging!F45*1000," ")</f>
        <v xml:space="preserve"> </v>
      </c>
      <c r="F145" s="651" t="str">
        <f t="shared" si="5"/>
        <v/>
      </c>
    </row>
    <row r="146" spans="2:8">
      <c r="B146" s="651" t="s">
        <v>142</v>
      </c>
      <c r="C146" s="685">
        <v>240448.54022309167</v>
      </c>
      <c r="D146" s="685">
        <f>Production!C40</f>
        <v>0</v>
      </c>
      <c r="E146" s="685" t="str">
        <f>IFERROR(Packaging!F46*1000," ")</f>
        <v xml:space="preserve"> </v>
      </c>
      <c r="F146" s="651" t="str">
        <f t="shared" si="5"/>
        <v/>
      </c>
    </row>
    <row r="147" spans="2:8">
      <c r="B147" s="651" t="s">
        <v>144</v>
      </c>
      <c r="C147" s="685">
        <v>280182.31484937598</v>
      </c>
      <c r="D147" s="685">
        <f>Production!C41</f>
        <v>0</v>
      </c>
      <c r="E147" s="685" t="str">
        <f>IFERROR(Packaging!F47*1000," ")</f>
        <v xml:space="preserve"> </v>
      </c>
      <c r="F147" s="651" t="str">
        <f t="shared" si="5"/>
        <v/>
      </c>
    </row>
    <row r="148" spans="2:8">
      <c r="B148" s="651" t="s">
        <v>145</v>
      </c>
      <c r="C148" s="612"/>
      <c r="D148" s="685">
        <f>SUM(D136:D147)</f>
        <v>167055.83333333334</v>
      </c>
      <c r="E148" s="685">
        <f>SUM(E136:E147)</f>
        <v>1570329.3314324324</v>
      </c>
      <c r="F148" s="651">
        <f>IFERROR(E148/D148,"")</f>
        <v>9.4000269257230311</v>
      </c>
    </row>
    <row r="151" spans="2:8">
      <c r="C151" t="s">
        <v>146</v>
      </c>
      <c r="D151" t="s">
        <v>147</v>
      </c>
      <c r="E151" t="s">
        <v>181</v>
      </c>
      <c r="F151" t="s">
        <v>148</v>
      </c>
      <c r="H151" t="s">
        <v>149</v>
      </c>
    </row>
    <row r="152" spans="2:8">
      <c r="C152" s="592">
        <f>12-COUNTIF(D136:D147,"0")</f>
        <v>1</v>
      </c>
      <c r="D152" s="475">
        <f>IF(C152=1,SUM(C137:C147),IF(C152=2,SUM(C138:C147),IF(C152=3,SUM(C139:C147),IF(C152=4,SUM(C140:C147),IF(C152=5,SUM(C141:C147),IF(C152=6,SUM(C142:C147),IF(C152=7,SUM(C143:C147),IF(C152=8,SUM(C144:C147),IF(C152=9,SUM(C145:C147),IF(C152=10,SUM(C146:C147),IF(C152=11,C147,0)))))))))))</f>
        <v>2579957.939704217</v>
      </c>
      <c r="E152" s="475">
        <f>E154-E148</f>
        <v>18478727.716749959</v>
      </c>
      <c r="F152" s="592">
        <f>D148+D152</f>
        <v>2747013.7730375505</v>
      </c>
      <c r="G152" s="592"/>
      <c r="H152">
        <f>IFERROR((E152/D152),"")</f>
        <v>7.162414329463247</v>
      </c>
    </row>
    <row r="153" spans="2:8">
      <c r="E153" s="475"/>
    </row>
    <row r="154" spans="2:8">
      <c r="E154" s="475">
        <f>F152*I135</f>
        <v>20049057.048182391</v>
      </c>
    </row>
    <row r="156" spans="2:8">
      <c r="D156" t="s">
        <v>182</v>
      </c>
      <c r="E156" s="475">
        <f>E152/(12-C152)</f>
        <v>1679884.3378863598</v>
      </c>
    </row>
    <row r="159" spans="2:8">
      <c r="B159" s="665" t="s">
        <v>183</v>
      </c>
    </row>
    <row r="161" spans="2:10">
      <c r="B161" s="651" t="s">
        <v>121</v>
      </c>
      <c r="C161" s="651" t="s">
        <v>122</v>
      </c>
      <c r="D161" s="651" t="s">
        <v>123</v>
      </c>
      <c r="E161" s="651" t="s">
        <v>184</v>
      </c>
      <c r="F161" s="651"/>
      <c r="H161" t="s">
        <v>125</v>
      </c>
      <c r="I161" s="1706">
        <f>'Dashboard Data'!E118</f>
        <v>0.24056945862219514</v>
      </c>
      <c r="J161" t="s">
        <v>168</v>
      </c>
    </row>
    <row r="162" spans="2:10">
      <c r="B162" s="651" t="s">
        <v>127</v>
      </c>
      <c r="C162" s="685">
        <v>195604.40135031616</v>
      </c>
      <c r="D162" s="685">
        <f>Production!C30</f>
        <v>167055.83333333334</v>
      </c>
      <c r="E162" s="685">
        <f>IFERROR(Waste!L67*1000,"")</f>
        <v>43484.3</v>
      </c>
      <c r="F162" s="651">
        <f>IFERROR(E162/D162,"")</f>
        <v>0.26029800416028576</v>
      </c>
    </row>
    <row r="163" spans="2:10">
      <c r="B163" s="651" t="s">
        <v>128</v>
      </c>
      <c r="C163" s="685">
        <v>205322.47961479813</v>
      </c>
      <c r="D163" s="685">
        <f>Production!C31</f>
        <v>0</v>
      </c>
      <c r="E163" s="685" t="str">
        <f>IFERROR(Waste!L68*1000,"")</f>
        <v/>
      </c>
      <c r="F163" s="651" t="str">
        <f t="shared" ref="F163:F173" si="6">IFERROR(E163/D163,"")</f>
        <v/>
      </c>
    </row>
    <row r="164" spans="2:10">
      <c r="B164" s="651" t="s">
        <v>129</v>
      </c>
      <c r="C164" s="685">
        <v>212184.95832874233</v>
      </c>
      <c r="D164" s="685">
        <f>Production!C32</f>
        <v>0</v>
      </c>
      <c r="E164" s="685" t="str">
        <f>IFERROR(Waste!L69*1000,"")</f>
        <v/>
      </c>
      <c r="F164" s="651" t="str">
        <f t="shared" si="6"/>
        <v/>
      </c>
    </row>
    <row r="165" spans="2:10">
      <c r="B165" s="651" t="s">
        <v>130</v>
      </c>
      <c r="C165" s="685">
        <v>259069.69523801841</v>
      </c>
      <c r="D165" s="685">
        <f>Production!C33</f>
        <v>0</v>
      </c>
      <c r="E165" s="685" t="str">
        <f>IFERROR(Waste!L70*1000,"")</f>
        <v/>
      </c>
      <c r="F165" s="651" t="str">
        <f t="shared" si="6"/>
        <v/>
      </c>
      <c r="H165" t="s">
        <v>169</v>
      </c>
      <c r="I165" s="1724">
        <f>F174</f>
        <v>0.26029800416028576</v>
      </c>
    </row>
    <row r="166" spans="2:10">
      <c r="B166" s="651" t="s">
        <v>132</v>
      </c>
      <c r="C166" s="685">
        <v>213454.91429890058</v>
      </c>
      <c r="D166" s="685">
        <f>Production!C34</f>
        <v>0</v>
      </c>
      <c r="E166" s="685" t="str">
        <f>IFERROR(Waste!L71*1000,"")</f>
        <v/>
      </c>
      <c r="F166" s="651" t="str">
        <f t="shared" si="6"/>
        <v/>
      </c>
      <c r="H166" t="s">
        <v>170</v>
      </c>
      <c r="I166" s="1724">
        <f>H178</f>
        <v>0.23929200810077378</v>
      </c>
    </row>
    <row r="167" spans="2:10">
      <c r="B167" s="651" t="s">
        <v>134</v>
      </c>
      <c r="C167" s="685">
        <v>249487.56817058849</v>
      </c>
      <c r="D167" s="685">
        <f>Production!C35</f>
        <v>0</v>
      </c>
      <c r="E167" s="685" t="str">
        <f>IFERROR(Waste!L72*1000,"")</f>
        <v/>
      </c>
      <c r="F167" s="651" t="str">
        <f t="shared" si="6"/>
        <v/>
      </c>
      <c r="H167" t="s">
        <v>171</v>
      </c>
      <c r="I167" s="592">
        <f>ROUND(E174,0)</f>
        <v>43484</v>
      </c>
    </row>
    <row r="168" spans="2:10">
      <c r="B168" s="651" t="s">
        <v>136</v>
      </c>
      <c r="C168" s="685">
        <v>256079.23661805858</v>
      </c>
      <c r="D168" s="685">
        <f>Production!C36</f>
        <v>0</v>
      </c>
      <c r="E168" s="685" t="str">
        <f>IFERROR(Waste!L73*1000,"")</f>
        <v/>
      </c>
      <c r="F168" s="651" t="str">
        <f t="shared" si="6"/>
        <v/>
      </c>
      <c r="H168" t="s">
        <v>172</v>
      </c>
      <c r="I168" s="592">
        <f>ROUND(E178,0)</f>
        <v>617363</v>
      </c>
    </row>
    <row r="169" spans="2:10">
      <c r="B169" s="651" t="s">
        <v>138</v>
      </c>
      <c r="C169" s="685">
        <v>220615.84494611176</v>
      </c>
      <c r="D169" s="685">
        <f>Production!C37</f>
        <v>0</v>
      </c>
      <c r="E169" s="685" t="str">
        <f>IFERROR(Waste!L74*1000,"")</f>
        <v/>
      </c>
      <c r="F169" s="651" t="str">
        <f t="shared" si="6"/>
        <v/>
      </c>
    </row>
    <row r="170" spans="2:10">
      <c r="B170" s="651" t="s">
        <v>139</v>
      </c>
      <c r="C170" s="685">
        <v>193927.6358877648</v>
      </c>
      <c r="D170" s="685">
        <f>Production!C38</f>
        <v>0</v>
      </c>
      <c r="E170" s="685" t="str">
        <f>IFERROR(Waste!L75*1000,"")</f>
        <v/>
      </c>
      <c r="F170" s="651" t="str">
        <f t="shared" si="6"/>
        <v/>
      </c>
    </row>
    <row r="171" spans="2:10">
      <c r="B171" s="651" t="s">
        <v>140</v>
      </c>
      <c r="C171" s="685">
        <v>249184.75152876633</v>
      </c>
      <c r="D171" s="685">
        <f>Production!C39</f>
        <v>0</v>
      </c>
      <c r="E171" s="685" t="str">
        <f>IFERROR(Waste!L76*1000,"")</f>
        <v/>
      </c>
      <c r="F171" s="651" t="str">
        <f t="shared" si="6"/>
        <v/>
      </c>
    </row>
    <row r="172" spans="2:10">
      <c r="B172" s="651" t="s">
        <v>142</v>
      </c>
      <c r="C172" s="685">
        <v>240448.54022309167</v>
      </c>
      <c r="D172" s="685">
        <f>Production!C40</f>
        <v>0</v>
      </c>
      <c r="E172" s="685" t="str">
        <f>IFERROR(Waste!L77*1000,"")</f>
        <v/>
      </c>
      <c r="F172" s="651" t="str">
        <f t="shared" si="6"/>
        <v/>
      </c>
    </row>
    <row r="173" spans="2:10">
      <c r="B173" s="651" t="s">
        <v>144</v>
      </c>
      <c r="C173" s="685">
        <v>280182.31484937598</v>
      </c>
      <c r="D173" s="685">
        <f>Production!C41</f>
        <v>0</v>
      </c>
      <c r="E173" s="685" t="str">
        <f>IFERROR(Waste!L78*1000,"")</f>
        <v/>
      </c>
      <c r="F173" s="651" t="str">
        <f t="shared" si="6"/>
        <v/>
      </c>
    </row>
    <row r="174" spans="2:10">
      <c r="B174" s="651" t="s">
        <v>145</v>
      </c>
      <c r="C174" s="612"/>
      <c r="D174" s="685">
        <f>SUM(D162:D173)</f>
        <v>167055.83333333334</v>
      </c>
      <c r="E174" s="685">
        <f>SUM(E162:E173)</f>
        <v>43484.3</v>
      </c>
      <c r="F174" s="651">
        <f>IFERROR(E174/D174,"")</f>
        <v>0.26029800416028576</v>
      </c>
    </row>
    <row r="177" spans="2:10">
      <c r="C177" t="s">
        <v>146</v>
      </c>
      <c r="D177" t="s">
        <v>147</v>
      </c>
      <c r="E177" t="s">
        <v>172</v>
      </c>
      <c r="F177" t="s">
        <v>148</v>
      </c>
      <c r="H177" t="s">
        <v>149</v>
      </c>
    </row>
    <row r="178" spans="2:10">
      <c r="C178" s="592">
        <f>12-COUNTIF(D162:D173,"0")</f>
        <v>1</v>
      </c>
      <c r="D178" s="475">
        <f>IF(C178=1,SUM(C163:C173),IF(C178=2,SUM(C164:C173),IF(C178=3,SUM(C165:C173),IF(C178=4,SUM(C166:C173),IF(C178=5,SUM(C167:C173),IF(C178=6,SUM(C168:C173),IF(C178=7,SUM(C169:C173),IF(C178=8,SUM(C170:C173),IF(C178=9,SUM(C171:C173),IF(C178=10,SUM(C172:C173),IF(C178=11,C173,0)))))))))))</f>
        <v>2579957.939704217</v>
      </c>
      <c r="E178" s="475">
        <f>E180-E174</f>
        <v>617363.3162073571</v>
      </c>
      <c r="F178" s="592">
        <f>D174+D178</f>
        <v>2747013.7730375505</v>
      </c>
      <c r="G178" s="592"/>
      <c r="H178">
        <f>IFERROR((E178/D178),"")</f>
        <v>0.23929200810077378</v>
      </c>
    </row>
    <row r="179" spans="2:10">
      <c r="E179" s="475"/>
    </row>
    <row r="180" spans="2:10">
      <c r="E180" s="475">
        <f>F178*I161</f>
        <v>660847.61620735715</v>
      </c>
    </row>
    <row r="182" spans="2:10">
      <c r="D182" t="s">
        <v>173</v>
      </c>
      <c r="E182" s="475">
        <f>E178/(12-C178)</f>
        <v>56123.937837032463</v>
      </c>
    </row>
    <row r="186" spans="2:10">
      <c r="B186" s="665" t="s">
        <v>185</v>
      </c>
    </row>
    <row r="188" spans="2:10">
      <c r="B188" s="651" t="s">
        <v>121</v>
      </c>
      <c r="C188" s="651" t="s">
        <v>122</v>
      </c>
      <c r="D188" s="651" t="s">
        <v>123</v>
      </c>
      <c r="E188" s="651" t="s">
        <v>186</v>
      </c>
      <c r="F188" s="651"/>
      <c r="H188" t="s">
        <v>125</v>
      </c>
      <c r="I188" s="1706">
        <f>'Dashboard Data'!D52</f>
        <v>8.0000000000000002E-3</v>
      </c>
      <c r="J188" t="s">
        <v>187</v>
      </c>
    </row>
    <row r="189" spans="2:10">
      <c r="B189" s="651" t="s">
        <v>127</v>
      </c>
      <c r="C189" s="685">
        <v>195604.40135031616</v>
      </c>
      <c r="D189" s="685">
        <f>Production!C30</f>
        <v>167055.83333333334</v>
      </c>
      <c r="E189" s="685">
        <f>IFERROR('GHG calculations'!O33/1000,"")</f>
        <v>51.613145513994837</v>
      </c>
      <c r="F189" s="651">
        <f>IFERROR(E189/D189,"")</f>
        <v>3.0895745742089121E-4</v>
      </c>
    </row>
    <row r="190" spans="2:10">
      <c r="B190" s="651" t="s">
        <v>128</v>
      </c>
      <c r="C190" s="685">
        <v>205322.47961479813</v>
      </c>
      <c r="D190" s="685">
        <f>Production!C31</f>
        <v>0</v>
      </c>
      <c r="E190" s="685" t="str">
        <f>IFERROR('GHG calculations'!O34/1000,"")</f>
        <v/>
      </c>
      <c r="F190" s="651" t="str">
        <f t="shared" ref="F190:F200" si="7">IFERROR(E190/D190,"")</f>
        <v/>
      </c>
    </row>
    <row r="191" spans="2:10">
      <c r="B191" s="651" t="s">
        <v>129</v>
      </c>
      <c r="C191" s="685">
        <v>212184.95832874233</v>
      </c>
      <c r="D191" s="685">
        <f>Production!C32</f>
        <v>0</v>
      </c>
      <c r="E191" s="685" t="str">
        <f>IFERROR('GHG calculations'!O35/1000,"")</f>
        <v/>
      </c>
      <c r="F191" s="651" t="str">
        <f t="shared" si="7"/>
        <v/>
      </c>
    </row>
    <row r="192" spans="2:10">
      <c r="B192" s="651" t="s">
        <v>130</v>
      </c>
      <c r="C192" s="685">
        <v>259069.69523801841</v>
      </c>
      <c r="D192" s="685">
        <f>Production!C33</f>
        <v>0</v>
      </c>
      <c r="E192" s="685" t="str">
        <f>IFERROR('GHG calculations'!O36/1000,"")</f>
        <v/>
      </c>
      <c r="F192" s="651" t="str">
        <f t="shared" si="7"/>
        <v/>
      </c>
      <c r="H192" t="s">
        <v>188</v>
      </c>
      <c r="I192" s="1375">
        <f>F201</f>
        <v>3.0895745742089121E-4</v>
      </c>
    </row>
    <row r="193" spans="2:9">
      <c r="B193" s="651" t="s">
        <v>132</v>
      </c>
      <c r="C193" s="685">
        <v>213454.91429890058</v>
      </c>
      <c r="D193" s="685">
        <f>Production!C34</f>
        <v>0</v>
      </c>
      <c r="E193" s="685" t="str">
        <f>IFERROR('GHG calculations'!O37/1000,"")</f>
        <v/>
      </c>
      <c r="F193" s="651" t="str">
        <f t="shared" si="7"/>
        <v/>
      </c>
      <c r="H193" t="s">
        <v>189</v>
      </c>
      <c r="I193" s="1375">
        <f>H205</f>
        <v>8.4980056075255137E-3</v>
      </c>
    </row>
    <row r="194" spans="2:9">
      <c r="B194" s="651" t="s">
        <v>134</v>
      </c>
      <c r="C194" s="685">
        <v>249487.56817058849</v>
      </c>
      <c r="D194" s="685">
        <f>Production!C35</f>
        <v>0</v>
      </c>
      <c r="E194" s="685" t="str">
        <f>IFERROR('GHG calculations'!O38/1000,"")</f>
        <v/>
      </c>
      <c r="F194" s="651" t="str">
        <f t="shared" si="7"/>
        <v/>
      </c>
      <c r="H194" t="s">
        <v>190</v>
      </c>
      <c r="I194" s="592">
        <f>ROUND(E201,0)</f>
        <v>52</v>
      </c>
    </row>
    <row r="195" spans="2:9">
      <c r="B195" s="651" t="s">
        <v>136</v>
      </c>
      <c r="C195" s="685">
        <v>256079.23661805858</v>
      </c>
      <c r="D195" s="685">
        <f>Production!C36</f>
        <v>0</v>
      </c>
      <c r="E195" s="685" t="str">
        <f>IFERROR('GHG calculations'!O39/1000,"")</f>
        <v/>
      </c>
      <c r="F195" s="651" t="str">
        <f t="shared" si="7"/>
        <v/>
      </c>
      <c r="H195" t="s">
        <v>191</v>
      </c>
      <c r="I195" s="592">
        <f>ROUND(E205,0)</f>
        <v>21924</v>
      </c>
    </row>
    <row r="196" spans="2:9">
      <c r="B196" s="651" t="s">
        <v>138</v>
      </c>
      <c r="C196" s="685">
        <v>220615.84494611176</v>
      </c>
      <c r="D196" s="685">
        <f>Production!C37</f>
        <v>0</v>
      </c>
      <c r="E196" s="685" t="str">
        <f>IFERROR('GHG calculations'!O40/1000,"")</f>
        <v/>
      </c>
      <c r="F196" s="651" t="str">
        <f t="shared" si="7"/>
        <v/>
      </c>
    </row>
    <row r="197" spans="2:9">
      <c r="B197" s="651" t="s">
        <v>139</v>
      </c>
      <c r="C197" s="685">
        <v>193927.6358877648</v>
      </c>
      <c r="D197" s="685">
        <f>Production!C38</f>
        <v>0</v>
      </c>
      <c r="E197" s="685" t="str">
        <f>IFERROR('GHG calculations'!O41/1000,"")</f>
        <v/>
      </c>
      <c r="F197" s="651" t="str">
        <f t="shared" si="7"/>
        <v/>
      </c>
    </row>
    <row r="198" spans="2:9">
      <c r="B198" s="651" t="s">
        <v>140</v>
      </c>
      <c r="C198" s="685">
        <v>249184.75152876633</v>
      </c>
      <c r="D198" s="685">
        <f>Production!C39</f>
        <v>0</v>
      </c>
      <c r="E198" s="685" t="str">
        <f>IFERROR('GHG calculations'!O42/1000,"")</f>
        <v/>
      </c>
      <c r="F198" s="651" t="str">
        <f t="shared" si="7"/>
        <v/>
      </c>
    </row>
    <row r="199" spans="2:9">
      <c r="B199" s="651" t="s">
        <v>142</v>
      </c>
      <c r="C199" s="685">
        <v>240448.54022309167</v>
      </c>
      <c r="D199" s="685">
        <f>Production!C40</f>
        <v>0</v>
      </c>
      <c r="E199" s="685" t="str">
        <f>IFERROR('GHG calculations'!O43/1000,"")</f>
        <v/>
      </c>
      <c r="F199" s="651" t="str">
        <f t="shared" si="7"/>
        <v/>
      </c>
    </row>
    <row r="200" spans="2:9">
      <c r="B200" s="651" t="s">
        <v>144</v>
      </c>
      <c r="C200" s="685">
        <v>280182.31484937598</v>
      </c>
      <c r="D200" s="685">
        <f>Production!C41</f>
        <v>0</v>
      </c>
      <c r="E200" s="685" t="str">
        <f>IFERROR('GHG calculations'!O44/1000,"")</f>
        <v/>
      </c>
      <c r="F200" s="651" t="str">
        <f t="shared" si="7"/>
        <v/>
      </c>
    </row>
    <row r="201" spans="2:9">
      <c r="B201" s="651" t="s">
        <v>145</v>
      </c>
      <c r="C201" s="612"/>
      <c r="D201" s="685">
        <f>SUM(D189:D200)</f>
        <v>167055.83333333334</v>
      </c>
      <c r="E201" s="685">
        <f>SUM(E189:E200)</f>
        <v>51.613145513994837</v>
      </c>
      <c r="F201" s="651">
        <f>IFERROR(E201/D201,"")</f>
        <v>3.0895745742089121E-4</v>
      </c>
    </row>
    <row r="204" spans="2:9">
      <c r="C204" t="s">
        <v>146</v>
      </c>
      <c r="D204" t="s">
        <v>147</v>
      </c>
      <c r="E204" t="s">
        <v>192</v>
      </c>
      <c r="F204" t="s">
        <v>148</v>
      </c>
      <c r="H204" t="s">
        <v>149</v>
      </c>
    </row>
    <row r="205" spans="2:9">
      <c r="C205" s="592">
        <f>12-COUNTIF(D189:D200,"0")</f>
        <v>1</v>
      </c>
      <c r="D205" s="475">
        <f>IF(C205=1,SUM(C190:C200),IF(C205=2,SUM(C191:C200),IF(C205=3,SUM(C192:C200),IF(C205=4,SUM(C193:C200),IF(C205=5,SUM(C194:C200),IF(C205=6,SUM(C195:C200),IF(C205=7,SUM(C196:C200),IF(C205=8,SUM(C197:C200),IF(C205=9,SUM(C198:C200),IF(C205=10,SUM(C199:C200),IF(C205=11,C200,0)))))))))))</f>
        <v>2579957.939704217</v>
      </c>
      <c r="E205" s="475">
        <f>E207-E201</f>
        <v>21924.497038786409</v>
      </c>
      <c r="F205" s="592">
        <f>D201+D205</f>
        <v>2747013.7730375505</v>
      </c>
      <c r="G205" s="592"/>
      <c r="H205">
        <f>IFERROR((E205/D205),"")</f>
        <v>8.4980056075255137E-3</v>
      </c>
    </row>
    <row r="206" spans="2:9">
      <c r="E206" s="475"/>
    </row>
    <row r="207" spans="2:9">
      <c r="E207" s="475">
        <f>F205*I188</f>
        <v>21976.110184300403</v>
      </c>
    </row>
    <row r="209" spans="4:5">
      <c r="D209" t="s">
        <v>193</v>
      </c>
      <c r="E209" s="475">
        <f>E205/(12-C205)</f>
        <v>1993.1360944351281</v>
      </c>
    </row>
  </sheetData>
  <phoneticPr fontId="9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2A835-378A-4E39-B93E-DEA2CF5EBCEA}">
  <dimension ref="A1:B13"/>
  <sheetViews>
    <sheetView workbookViewId="0">
      <selection activeCell="D7" sqref="D7"/>
    </sheetView>
  </sheetViews>
  <sheetFormatPr defaultRowHeight="15"/>
  <cols>
    <col min="1" max="1" width="14.7109375" style="665" bestFit="1" customWidth="1"/>
    <col min="2" max="2" width="12.28515625" style="665" bestFit="1" customWidth="1"/>
  </cols>
  <sheetData>
    <row r="1" spans="1:2">
      <c r="A1" s="665" t="s">
        <v>194</v>
      </c>
      <c r="B1" s="665" t="s">
        <v>195</v>
      </c>
    </row>
    <row r="2" spans="1:2">
      <c r="A2" s="665">
        <v>1</v>
      </c>
      <c r="B2" s="665" t="s">
        <v>127</v>
      </c>
    </row>
    <row r="3" spans="1:2">
      <c r="A3" s="665">
        <v>2</v>
      </c>
      <c r="B3" s="665" t="s">
        <v>128</v>
      </c>
    </row>
    <row r="4" spans="1:2">
      <c r="A4" s="665">
        <v>3</v>
      </c>
      <c r="B4" s="665" t="s">
        <v>129</v>
      </c>
    </row>
    <row r="5" spans="1:2">
      <c r="A5" s="665">
        <v>4</v>
      </c>
      <c r="B5" s="665" t="s">
        <v>130</v>
      </c>
    </row>
    <row r="6" spans="1:2">
      <c r="A6" s="665">
        <v>5</v>
      </c>
      <c r="B6" s="665" t="s">
        <v>132</v>
      </c>
    </row>
    <row r="7" spans="1:2">
      <c r="A7" s="665">
        <v>6</v>
      </c>
      <c r="B7" s="665" t="s">
        <v>134</v>
      </c>
    </row>
    <row r="8" spans="1:2">
      <c r="A8" s="665">
        <v>7</v>
      </c>
      <c r="B8" s="665" t="s">
        <v>136</v>
      </c>
    </row>
    <row r="9" spans="1:2">
      <c r="A9" s="665">
        <v>8</v>
      </c>
      <c r="B9" s="665" t="s">
        <v>138</v>
      </c>
    </row>
    <row r="10" spans="1:2">
      <c r="A10" s="665">
        <v>9</v>
      </c>
      <c r="B10" s="665" t="s">
        <v>139</v>
      </c>
    </row>
    <row r="11" spans="1:2">
      <c r="A11" s="665">
        <v>10</v>
      </c>
      <c r="B11" s="665" t="s">
        <v>140</v>
      </c>
    </row>
    <row r="12" spans="1:2">
      <c r="A12" s="665">
        <v>11</v>
      </c>
      <c r="B12" s="665" t="s">
        <v>142</v>
      </c>
    </row>
    <row r="13" spans="1:2">
      <c r="A13" s="665">
        <v>12</v>
      </c>
      <c r="B13" s="665" t="s">
        <v>144</v>
      </c>
    </row>
  </sheetData>
  <phoneticPr fontId="9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38861-545D-44DE-84CC-7659DEFEAE45}">
  <dimension ref="A1:M132"/>
  <sheetViews>
    <sheetView topLeftCell="A31" workbookViewId="0">
      <selection activeCell="D54" sqref="D54"/>
    </sheetView>
  </sheetViews>
  <sheetFormatPr defaultRowHeight="15"/>
  <cols>
    <col min="1" max="2" width="9.7109375" bestFit="1" customWidth="1"/>
    <col min="3" max="3" width="13.7109375" bestFit="1" customWidth="1"/>
    <col min="4" max="6" width="12.42578125" bestFit="1" customWidth="1"/>
    <col min="8" max="8" width="22.85546875" bestFit="1" customWidth="1"/>
    <col min="9" max="9" width="9.42578125" bestFit="1" customWidth="1"/>
    <col min="10" max="13" width="13.28515625" bestFit="1" customWidth="1"/>
  </cols>
  <sheetData>
    <row r="1" spans="1:13">
      <c r="A1" s="1695" t="s">
        <v>121</v>
      </c>
      <c r="J1">
        <v>23</v>
      </c>
      <c r="K1">
        <v>24</v>
      </c>
      <c r="L1">
        <v>25</v>
      </c>
      <c r="M1">
        <v>26</v>
      </c>
    </row>
    <row r="2" spans="1:13">
      <c r="A2" s="1695">
        <v>1</v>
      </c>
      <c r="B2" t="s">
        <v>196</v>
      </c>
      <c r="C2" s="1928" t="s">
        <v>197</v>
      </c>
      <c r="D2" s="1928"/>
      <c r="E2" s="1928"/>
      <c r="F2" s="1928"/>
      <c r="H2" t="s">
        <v>198</v>
      </c>
      <c r="I2" t="s">
        <v>199</v>
      </c>
      <c r="J2" s="1240">
        <v>3432460</v>
      </c>
      <c r="K2" s="1240">
        <v>4108308</v>
      </c>
      <c r="L2" s="1240">
        <v>3993275</v>
      </c>
      <c r="M2" s="1240">
        <v>3881464</v>
      </c>
    </row>
    <row r="3" spans="1:13">
      <c r="B3" t="s">
        <v>200</v>
      </c>
      <c r="C3">
        <v>2023</v>
      </c>
      <c r="D3" t="s">
        <v>201</v>
      </c>
      <c r="E3" t="s">
        <v>202</v>
      </c>
      <c r="F3" t="s">
        <v>203</v>
      </c>
      <c r="I3" t="s">
        <v>204</v>
      </c>
      <c r="J3">
        <v>1.631</v>
      </c>
      <c r="K3">
        <v>1.468</v>
      </c>
      <c r="L3">
        <v>1.321</v>
      </c>
      <c r="M3">
        <v>1.1890000000000001</v>
      </c>
    </row>
    <row r="4" spans="1:13">
      <c r="C4" s="1701">
        <f>(Energy!E20)/Production!C20</f>
        <v>1.608672914196309</v>
      </c>
      <c r="D4" s="1703">
        <f>C4-(C4*K8)</f>
        <v>1.4479042538566409</v>
      </c>
      <c r="E4" s="1703">
        <f>D4-(D4*L8)</f>
        <v>1.3029165663110507</v>
      </c>
      <c r="F4" s="1703">
        <f>E4-(E4*M8)</f>
        <v>1.1727235407599088</v>
      </c>
    </row>
    <row r="5" spans="1:13">
      <c r="K5" s="593">
        <f>(J3-K3)/J3</f>
        <v>9.9938687921520566E-2</v>
      </c>
      <c r="L5" s="593">
        <f>(J3-L3)/J3</f>
        <v>0.19006744328632744</v>
      </c>
      <c r="M5" s="593">
        <f>(J3-M3)/J3</f>
        <v>0.27099938687921515</v>
      </c>
    </row>
    <row r="6" spans="1:13">
      <c r="A6" s="1704">
        <v>1</v>
      </c>
      <c r="K6" s="593"/>
      <c r="L6" s="593"/>
      <c r="M6" s="593"/>
    </row>
    <row r="7" spans="1:13">
      <c r="A7" s="1704">
        <v>2</v>
      </c>
      <c r="B7" s="651" t="s">
        <v>205</v>
      </c>
      <c r="C7" s="1707" t="s">
        <v>200</v>
      </c>
      <c r="D7" s="651" t="s">
        <v>206</v>
      </c>
      <c r="E7" s="651" t="s">
        <v>10</v>
      </c>
      <c r="F7" s="651"/>
      <c r="K7" s="1699">
        <f>(K3-J3)/J3</f>
        <v>-9.9938687921520566E-2</v>
      </c>
      <c r="L7" s="1699">
        <f>(L3-K3)/K3</f>
        <v>-0.10013623978201637</v>
      </c>
      <c r="M7" s="1699">
        <f>(M3-L3)/L3</f>
        <v>-9.9924299772899239E-2</v>
      </c>
    </row>
    <row r="8" spans="1:13">
      <c r="A8" s="1704">
        <v>3</v>
      </c>
      <c r="B8" s="651">
        <v>2023</v>
      </c>
      <c r="C8" s="1707">
        <f>C4</f>
        <v>1.608672914196309</v>
      </c>
      <c r="D8" s="651"/>
      <c r="E8" s="651"/>
      <c r="F8" s="651"/>
      <c r="K8" s="1699">
        <f>ABS(K7)</f>
        <v>9.9938687921520566E-2</v>
      </c>
      <c r="L8" s="1699">
        <f t="shared" ref="L8:M8" si="0">ABS(L7)</f>
        <v>0.10013623978201637</v>
      </c>
      <c r="M8" s="1699">
        <f t="shared" si="0"/>
        <v>9.9924299772899239E-2</v>
      </c>
    </row>
    <row r="9" spans="1:13">
      <c r="A9" s="1704">
        <v>4</v>
      </c>
      <c r="B9" s="651">
        <v>2024</v>
      </c>
      <c r="C9" s="651"/>
      <c r="D9" s="1708">
        <f>'Sustainability Performance'!P70</f>
        <v>0.12159666182579321</v>
      </c>
      <c r="E9" s="1711">
        <f>D4</f>
        <v>1.4479042538566409</v>
      </c>
      <c r="F9" s="651"/>
    </row>
    <row r="10" spans="1:13">
      <c r="A10" s="1704">
        <v>5</v>
      </c>
      <c r="B10" s="651">
        <v>2025</v>
      </c>
      <c r="C10" s="651"/>
      <c r="D10" s="1711"/>
      <c r="E10" s="1711">
        <f>E4</f>
        <v>1.3029165663110507</v>
      </c>
      <c r="F10" s="651"/>
      <c r="L10" s="593"/>
    </row>
    <row r="11" spans="1:13">
      <c r="A11" s="1704">
        <v>6</v>
      </c>
      <c r="B11" s="651">
        <v>2026</v>
      </c>
      <c r="C11" s="651"/>
      <c r="D11" s="1708"/>
      <c r="E11" s="1711">
        <f>F4</f>
        <v>1.1727235407599088</v>
      </c>
      <c r="F11" s="1708"/>
      <c r="L11" s="593"/>
    </row>
    <row r="12" spans="1:13">
      <c r="A12" s="1704">
        <v>7</v>
      </c>
    </row>
    <row r="13" spans="1:13">
      <c r="A13" s="1704">
        <v>8</v>
      </c>
    </row>
    <row r="14" spans="1:13">
      <c r="A14" s="1704">
        <v>9</v>
      </c>
      <c r="B14" s="665"/>
      <c r="C14" s="665"/>
      <c r="D14" s="665"/>
      <c r="E14" s="665"/>
    </row>
    <row r="15" spans="1:13">
      <c r="A15" s="1704">
        <v>10</v>
      </c>
    </row>
    <row r="16" spans="1:13">
      <c r="A16" s="1704">
        <v>11</v>
      </c>
    </row>
    <row r="17" spans="1:13">
      <c r="A17" s="1704">
        <v>12</v>
      </c>
    </row>
    <row r="19" spans="1:13">
      <c r="B19" t="s">
        <v>207</v>
      </c>
      <c r="C19" s="1928" t="s">
        <v>208</v>
      </c>
      <c r="D19" s="1928"/>
      <c r="E19" s="1928"/>
      <c r="F19" s="1928"/>
      <c r="H19" t="s">
        <v>209</v>
      </c>
      <c r="I19" t="s">
        <v>210</v>
      </c>
      <c r="J19" s="1240">
        <v>40840</v>
      </c>
      <c r="K19" s="1240">
        <v>49968</v>
      </c>
      <c r="L19" s="1240">
        <v>49648</v>
      </c>
      <c r="M19" s="1240">
        <v>49330</v>
      </c>
    </row>
    <row r="20" spans="1:13">
      <c r="B20" t="s">
        <v>200</v>
      </c>
      <c r="C20">
        <v>2023</v>
      </c>
      <c r="D20" t="s">
        <v>201</v>
      </c>
      <c r="E20" t="s">
        <v>202</v>
      </c>
      <c r="F20" t="s">
        <v>203</v>
      </c>
      <c r="I20" t="s">
        <v>211</v>
      </c>
      <c r="J20">
        <v>1.9400000000000001E-2</v>
      </c>
      <c r="K20">
        <v>1.7899999999999999E-2</v>
      </c>
      <c r="L20">
        <v>1.6400000000000001E-2</v>
      </c>
      <c r="M20">
        <v>1.5100000000000001E-2</v>
      </c>
    </row>
    <row r="21" spans="1:13">
      <c r="C21" s="1701">
        <f>(Energy!F20)/Production!C20</f>
        <v>1.9921087066947056E-2</v>
      </c>
      <c r="D21" s="1703">
        <f>C21-(C21*K25)</f>
        <v>1.8380796829811974E-2</v>
      </c>
      <c r="E21" s="1703">
        <f>D21-(D21*L25)</f>
        <v>1.6840506592676895E-2</v>
      </c>
      <c r="F21" s="1703">
        <f>E21-(E21*M25)</f>
        <v>1.5505588387159824E-2</v>
      </c>
    </row>
    <row r="22" spans="1:13">
      <c r="K22" s="593">
        <f>(J20-K20)/J20</f>
        <v>7.7319587628866052E-2</v>
      </c>
      <c r="L22" s="593">
        <f>(J20-L20)/J20</f>
        <v>0.15463917525773191</v>
      </c>
      <c r="M22" s="593">
        <f>(J20-M20)/J20</f>
        <v>0.22164948453608246</v>
      </c>
    </row>
    <row r="23" spans="1:13">
      <c r="K23" s="593"/>
      <c r="L23" s="593"/>
      <c r="M23" s="593"/>
    </row>
    <row r="24" spans="1:13">
      <c r="B24" s="651" t="s">
        <v>205</v>
      </c>
      <c r="C24" s="1707" t="s">
        <v>200</v>
      </c>
      <c r="D24" s="651" t="s">
        <v>206</v>
      </c>
      <c r="E24" s="651" t="s">
        <v>10</v>
      </c>
      <c r="F24" s="651"/>
      <c r="K24" s="1699">
        <f>(K20-J20)/J20</f>
        <v>-7.7319587628866052E-2</v>
      </c>
      <c r="L24" s="1699">
        <f>(L20-K20)/K20</f>
        <v>-8.379888268156413E-2</v>
      </c>
      <c r="M24" s="1699">
        <f>(M20-L20)/L20</f>
        <v>-7.9268292682926872E-2</v>
      </c>
    </row>
    <row r="25" spans="1:13">
      <c r="B25" s="651">
        <v>2023</v>
      </c>
      <c r="C25" s="963">
        <f>C21</f>
        <v>1.9921087066947056E-2</v>
      </c>
      <c r="D25" s="651"/>
      <c r="E25" s="651"/>
      <c r="F25" s="651"/>
      <c r="K25" s="1699">
        <f>ABS(K24)</f>
        <v>7.7319587628866052E-2</v>
      </c>
      <c r="L25" s="1699">
        <f t="shared" ref="L25" si="1">ABS(L24)</f>
        <v>8.379888268156413E-2</v>
      </c>
      <c r="M25" s="1699">
        <f t="shared" ref="M25" si="2">ABS(M24)</f>
        <v>7.9268292682926872E-2</v>
      </c>
    </row>
    <row r="26" spans="1:13">
      <c r="B26" s="651">
        <v>2024</v>
      </c>
      <c r="C26" s="651"/>
      <c r="D26" s="1708">
        <f>'Sustainability Performance'!P72</f>
        <v>1.7133084724710213E-3</v>
      </c>
      <c r="E26" s="1709">
        <f>D21</f>
        <v>1.8380796829811974E-2</v>
      </c>
      <c r="F26" s="651"/>
    </row>
    <row r="27" spans="1:13">
      <c r="B27" s="651">
        <v>2025</v>
      </c>
      <c r="C27" s="651"/>
      <c r="D27" s="1709"/>
      <c r="E27" s="1709">
        <f>E21</f>
        <v>1.6840506592676895E-2</v>
      </c>
      <c r="F27" s="651"/>
    </row>
    <row r="28" spans="1:13">
      <c r="B28" s="651">
        <v>2026</v>
      </c>
      <c r="C28" s="651"/>
      <c r="D28" s="1708"/>
      <c r="E28" s="1709">
        <f>F21</f>
        <v>1.5505588387159824E-2</v>
      </c>
      <c r="F28" s="1708"/>
    </row>
    <row r="35" spans="2:13">
      <c r="B35" t="s">
        <v>65</v>
      </c>
      <c r="C35" s="1928" t="s">
        <v>212</v>
      </c>
      <c r="D35" s="1928"/>
      <c r="E35" s="1928"/>
      <c r="F35" s="1928"/>
      <c r="H35" t="s">
        <v>213</v>
      </c>
      <c r="I35" t="s">
        <v>214</v>
      </c>
      <c r="J35" s="1240">
        <v>40000</v>
      </c>
      <c r="K35" s="1240">
        <v>46280</v>
      </c>
      <c r="L35" s="1240">
        <v>43485</v>
      </c>
      <c r="M35" s="1240">
        <v>41328</v>
      </c>
    </row>
    <row r="36" spans="2:13">
      <c r="B36" t="s">
        <v>200</v>
      </c>
      <c r="C36">
        <v>2023</v>
      </c>
      <c r="D36" t="s">
        <v>201</v>
      </c>
      <c r="E36" t="s">
        <v>202</v>
      </c>
      <c r="F36" t="s">
        <v>203</v>
      </c>
      <c r="I36" t="s">
        <v>215</v>
      </c>
      <c r="J36">
        <v>19.010000000000002</v>
      </c>
      <c r="K36">
        <v>16.538</v>
      </c>
      <c r="L36">
        <v>14.388</v>
      </c>
      <c r="M36">
        <v>12.662000000000001</v>
      </c>
    </row>
    <row r="37" spans="2:13">
      <c r="C37" s="1701">
        <f>'Sustainability Performance'!P19</f>
        <v>17.553152786900327</v>
      </c>
      <c r="D37" s="1703">
        <f>C37-(C37*K41)</f>
        <v>15.270596569687406</v>
      </c>
      <c r="E37" s="1703">
        <f>D37-(D37*L41)</f>
        <v>13.285363613778109</v>
      </c>
      <c r="F37" s="1703">
        <f>E37-(E37*M41)</f>
        <v>11.691637064057439</v>
      </c>
    </row>
    <row r="38" spans="2:13">
      <c r="K38" s="593">
        <f>(J36-K36)/J36</f>
        <v>0.13003682272488171</v>
      </c>
      <c r="L38" s="593">
        <f>(J36-L36)/J36</f>
        <v>0.24313519200420838</v>
      </c>
      <c r="M38" s="593">
        <f>(J36-M36)/J36</f>
        <v>0.33392951078379801</v>
      </c>
    </row>
    <row r="39" spans="2:13">
      <c r="K39" s="593"/>
      <c r="L39" s="593"/>
      <c r="M39" s="593"/>
    </row>
    <row r="40" spans="2:13">
      <c r="B40" s="651" t="s">
        <v>205</v>
      </c>
      <c r="C40" s="1707" t="s">
        <v>200</v>
      </c>
      <c r="D40" s="651" t="s">
        <v>206</v>
      </c>
      <c r="E40" s="651" t="s">
        <v>10</v>
      </c>
      <c r="F40" s="651"/>
      <c r="K40" s="1699">
        <f>(K36-J36)/J36</f>
        <v>-0.13003682272488171</v>
      </c>
      <c r="L40" s="1699">
        <f>(L36-K36)/K36</f>
        <v>-0.13000362800822352</v>
      </c>
      <c r="M40" s="1699">
        <f>(M36-L36)/L36</f>
        <v>-0.11996107867667495</v>
      </c>
    </row>
    <row r="41" spans="2:13">
      <c r="B41" s="651">
        <v>2023</v>
      </c>
      <c r="C41" s="1707">
        <f>C37</f>
        <v>17.553152786900327</v>
      </c>
      <c r="D41" s="651"/>
      <c r="E41" s="651"/>
      <c r="F41" s="651"/>
      <c r="K41" s="1699">
        <f>ABS(K40)</f>
        <v>0.13003682272488171</v>
      </c>
      <c r="L41" s="1699">
        <f t="shared" ref="L41" si="3">ABS(L40)</f>
        <v>0.13000362800822352</v>
      </c>
      <c r="M41" s="1699">
        <f t="shared" ref="M41" si="4">ABS(M40)</f>
        <v>0.11996107867667495</v>
      </c>
    </row>
    <row r="42" spans="2:13">
      <c r="B42" s="651">
        <v>2024</v>
      </c>
      <c r="C42" s="651"/>
      <c r="D42" s="1708" t="str">
        <f>'Water-Sum'!J78</f>
        <v/>
      </c>
      <c r="E42" s="1711">
        <f>D37</f>
        <v>15.270596569687406</v>
      </c>
      <c r="F42" s="651"/>
    </row>
    <row r="43" spans="2:13">
      <c r="B43" s="651">
        <v>2025</v>
      </c>
      <c r="C43" s="651"/>
      <c r="D43" s="1708"/>
      <c r="E43" s="1711">
        <f>E37</f>
        <v>13.285363613778109</v>
      </c>
      <c r="F43" s="651"/>
    </row>
    <row r="44" spans="2:13">
      <c r="B44" s="651">
        <v>2026</v>
      </c>
      <c r="C44" s="651"/>
      <c r="D44" s="1708"/>
      <c r="E44" s="1711">
        <f>F37</f>
        <v>11.691637064057439</v>
      </c>
      <c r="F44" s="1708"/>
    </row>
    <row r="48" spans="2:13">
      <c r="C48" s="1701"/>
      <c r="D48" s="1703"/>
      <c r="E48" s="1703"/>
      <c r="F48" s="1703"/>
    </row>
    <row r="50" spans="2:13">
      <c r="D50" t="s">
        <v>216</v>
      </c>
      <c r="K50">
        <v>22</v>
      </c>
      <c r="L50">
        <v>24</v>
      </c>
      <c r="M50">
        <v>52</v>
      </c>
    </row>
    <row r="51" spans="2:13">
      <c r="B51" s="651" t="s">
        <v>205</v>
      </c>
      <c r="C51" s="651" t="s">
        <v>206</v>
      </c>
      <c r="D51" s="651" t="s">
        <v>10</v>
      </c>
      <c r="E51" s="651"/>
      <c r="F51" s="651"/>
      <c r="H51" t="s">
        <v>217</v>
      </c>
      <c r="I51" s="665" t="s">
        <v>218</v>
      </c>
      <c r="J51" s="1240">
        <f>'GHG calculations'!O21</f>
        <v>698634.82911563944</v>
      </c>
      <c r="K51" s="1240">
        <f>J51-22</f>
        <v>698612.82911563944</v>
      </c>
      <c r="L51" s="1240">
        <f>K51-24</f>
        <v>698588.82911563944</v>
      </c>
      <c r="M51" s="1240">
        <f>L51-52</f>
        <v>698536.82911563944</v>
      </c>
    </row>
    <row r="52" spans="2:13">
      <c r="B52" s="651">
        <v>2024</v>
      </c>
      <c r="C52" s="1710" t="str">
        <f>IFERROR(('Sustainability Performance'!O14-'Sustainability Performance'!O60)," ")</f>
        <v xml:space="preserve"> </v>
      </c>
      <c r="D52" s="1710">
        <f>0.008</f>
        <v>8.0000000000000002E-3</v>
      </c>
      <c r="E52" s="651"/>
      <c r="F52" s="651"/>
      <c r="I52" t="s">
        <v>219</v>
      </c>
      <c r="J52" s="1713">
        <f>'GHG calculations'!O21/1000/Production!C20</f>
        <v>3.476567414446E-4</v>
      </c>
    </row>
    <row r="53" spans="2:13">
      <c r="B53" s="651">
        <v>2025</v>
      </c>
      <c r="C53" s="1710"/>
      <c r="D53" s="1710">
        <f>0.008</f>
        <v>8.0000000000000002E-3</v>
      </c>
      <c r="E53" s="1710"/>
      <c r="F53" s="651"/>
      <c r="H53" s="1102"/>
      <c r="J53" s="1240"/>
      <c r="K53">
        <v>8.0000000000000002E-3</v>
      </c>
      <c r="L53">
        <v>8.0000000000000002E-3</v>
      </c>
      <c r="M53">
        <v>1.6E-2</v>
      </c>
    </row>
    <row r="54" spans="2:13">
      <c r="B54" s="651">
        <v>2026</v>
      </c>
      <c r="C54" s="1710"/>
      <c r="D54" s="1710">
        <f>0.016</f>
        <v>1.6E-2</v>
      </c>
      <c r="E54" s="1710"/>
      <c r="F54" s="651"/>
      <c r="J54" s="1240"/>
      <c r="K54" s="1699"/>
      <c r="L54" s="593"/>
      <c r="M54" s="593"/>
    </row>
    <row r="55" spans="2:13">
      <c r="B55" s="651"/>
      <c r="C55" s="1710"/>
      <c r="D55" s="1710"/>
      <c r="E55" s="1710"/>
      <c r="F55" s="1708"/>
    </row>
    <row r="56" spans="2:13">
      <c r="K56" s="593"/>
      <c r="L56" s="593"/>
      <c r="M56" s="593"/>
    </row>
    <row r="57" spans="2:13">
      <c r="K57" s="1714"/>
      <c r="L57" s="593"/>
      <c r="M57" s="593"/>
    </row>
    <row r="58" spans="2:13">
      <c r="K58" s="1699"/>
      <c r="L58" s="1699"/>
      <c r="M58" s="1699"/>
    </row>
    <row r="59" spans="2:13">
      <c r="K59" s="1699"/>
      <c r="L59" s="1699"/>
      <c r="M59" s="1699"/>
    </row>
    <row r="64" spans="2:13">
      <c r="B64" s="1715" t="s">
        <v>220</v>
      </c>
    </row>
    <row r="67" spans="2:13">
      <c r="J67">
        <v>23</v>
      </c>
      <c r="K67">
        <v>24</v>
      </c>
      <c r="L67">
        <v>25</v>
      </c>
      <c r="M67">
        <v>26</v>
      </c>
    </row>
    <row r="68" spans="2:13">
      <c r="B68" t="s">
        <v>221</v>
      </c>
      <c r="C68" s="1928" t="s">
        <v>222</v>
      </c>
      <c r="D68" s="1928"/>
      <c r="E68" s="1928"/>
      <c r="F68" s="1928"/>
      <c r="H68" t="s">
        <v>223</v>
      </c>
      <c r="I68" s="665" t="s">
        <v>224</v>
      </c>
      <c r="J68" s="475">
        <v>17898</v>
      </c>
      <c r="K68" s="475">
        <v>20698</v>
      </c>
      <c r="L68" s="475">
        <v>17883</v>
      </c>
      <c r="M68" s="475">
        <v>15451</v>
      </c>
    </row>
    <row r="69" spans="2:13">
      <c r="B69" t="s">
        <v>200</v>
      </c>
      <c r="C69">
        <v>2023</v>
      </c>
      <c r="D69" t="s">
        <v>201</v>
      </c>
      <c r="E69" t="s">
        <v>202</v>
      </c>
      <c r="F69" t="s">
        <v>203</v>
      </c>
      <c r="I69" t="s">
        <v>225</v>
      </c>
      <c r="J69" s="1713">
        <v>8.51</v>
      </c>
      <c r="K69">
        <v>6.8</v>
      </c>
      <c r="L69">
        <v>5.44</v>
      </c>
      <c r="M69">
        <v>4.3499999999999996</v>
      </c>
    </row>
    <row r="70" spans="2:13">
      <c r="C70" s="1701">
        <f>'Sustainability Performance'!P40</f>
        <v>9.1338476217056837</v>
      </c>
      <c r="D70" s="1703">
        <f>C70-(C70*K74)</f>
        <v>7.2984916366155872</v>
      </c>
      <c r="E70" s="1703">
        <f>D70-(D70*L74)</f>
        <v>5.8387933092924698</v>
      </c>
      <c r="F70" s="1703">
        <f>E70-(E70*M74)</f>
        <v>4.668888032246735</v>
      </c>
    </row>
    <row r="71" spans="2:13">
      <c r="K71" s="593">
        <f>(J69-K69)/J69</f>
        <v>0.20094007050528789</v>
      </c>
      <c r="L71" s="593">
        <f>(J69-L69)/J69</f>
        <v>0.36075205640423025</v>
      </c>
      <c r="M71" s="593">
        <f>(J69-M69)/J69</f>
        <v>0.48883666274970627</v>
      </c>
    </row>
    <row r="73" spans="2:13">
      <c r="B73" s="651" t="s">
        <v>205</v>
      </c>
      <c r="C73" s="1707" t="s">
        <v>200</v>
      </c>
      <c r="D73" s="651" t="s">
        <v>206</v>
      </c>
      <c r="E73" s="651" t="s">
        <v>10</v>
      </c>
      <c r="F73" s="651"/>
      <c r="K73" s="1699">
        <f>(K69-J69)/J69</f>
        <v>-0.20094007050528789</v>
      </c>
      <c r="L73" s="1699">
        <f>(L69-K69)/K69</f>
        <v>-0.19999999999999993</v>
      </c>
      <c r="M73" s="1699">
        <f>(M69-L69)/L69</f>
        <v>-0.20036764705882365</v>
      </c>
    </row>
    <row r="74" spans="2:13">
      <c r="B74" s="651">
        <v>2023</v>
      </c>
      <c r="C74" s="1707">
        <f>C70</f>
        <v>9.1338476217056837</v>
      </c>
      <c r="D74" s="651"/>
      <c r="E74" s="651"/>
      <c r="F74" s="651"/>
      <c r="K74" s="1699">
        <f>ABS(K73)</f>
        <v>0.20094007050528789</v>
      </c>
      <c r="L74" s="1699">
        <f t="shared" ref="L74" si="5">ABS(L73)</f>
        <v>0.19999999999999993</v>
      </c>
      <c r="M74" s="1699">
        <f t="shared" ref="M74" si="6">ABS(M73)</f>
        <v>0.20036764705882365</v>
      </c>
    </row>
    <row r="75" spans="2:13">
      <c r="B75" s="651">
        <v>2024</v>
      </c>
      <c r="C75" s="651"/>
      <c r="D75" s="1708" t="str">
        <f>'Sustainability Performance'!P86</f>
        <v/>
      </c>
      <c r="E75" s="1711">
        <f>D70</f>
        <v>7.2984916366155872</v>
      </c>
      <c r="F75" s="651"/>
    </row>
    <row r="76" spans="2:13">
      <c r="B76" s="651">
        <v>2025</v>
      </c>
      <c r="C76" s="651"/>
      <c r="D76" s="1708"/>
      <c r="E76" s="1711">
        <f>E70</f>
        <v>5.8387933092924698</v>
      </c>
      <c r="F76" s="651"/>
    </row>
    <row r="77" spans="2:13">
      <c r="B77" s="651">
        <v>2026</v>
      </c>
      <c r="C77" s="651"/>
      <c r="D77" s="1708"/>
      <c r="E77" s="1711">
        <f>F70</f>
        <v>4.668888032246735</v>
      </c>
      <c r="F77" s="1708"/>
    </row>
    <row r="85" spans="2:13">
      <c r="B85" t="s">
        <v>226</v>
      </c>
      <c r="C85" s="1928" t="s">
        <v>227</v>
      </c>
      <c r="D85" s="1928"/>
      <c r="E85" s="1928"/>
      <c r="F85" s="1928"/>
      <c r="H85" t="s">
        <v>228</v>
      </c>
      <c r="I85" s="665" t="s">
        <v>224</v>
      </c>
      <c r="J85" s="475">
        <v>320610</v>
      </c>
      <c r="K85" s="475">
        <v>500528</v>
      </c>
      <c r="L85" s="475">
        <v>583815</v>
      </c>
      <c r="M85" s="475">
        <v>693573</v>
      </c>
    </row>
    <row r="86" spans="2:13">
      <c r="B86" t="s">
        <v>200</v>
      </c>
      <c r="C86">
        <v>2023</v>
      </c>
      <c r="D86" t="s">
        <v>201</v>
      </c>
      <c r="E86" t="s">
        <v>202</v>
      </c>
      <c r="F86" t="s">
        <v>203</v>
      </c>
      <c r="I86" t="s">
        <v>229</v>
      </c>
      <c r="J86" s="1713">
        <v>0.152</v>
      </c>
      <c r="K86">
        <v>0.16500000000000001</v>
      </c>
      <c r="L86">
        <v>0.17799999999999999</v>
      </c>
      <c r="M86">
        <v>0.19500000000000001</v>
      </c>
    </row>
    <row r="87" spans="2:13">
      <c r="C87" s="1700">
        <f>('Sustainability Performance'!P36*1000)/Production!C20</f>
        <v>0.19298593683153836</v>
      </c>
      <c r="D87" s="1702">
        <f>C87+(C87*K91)</f>
        <v>0.20949131300791995</v>
      </c>
      <c r="E87" s="1702">
        <f>D87+(D87*L91)</f>
        <v>0.22599668918430149</v>
      </c>
      <c r="F87" s="1702">
        <f>E87+(E87*M91)</f>
        <v>0.24758064264572358</v>
      </c>
    </row>
    <row r="88" spans="2:13">
      <c r="K88" s="593">
        <f>(J86-K86)/J86</f>
        <v>-8.5526315789473756E-2</v>
      </c>
      <c r="L88" s="593">
        <f>(J86-L86)/J86</f>
        <v>-0.17105263157894735</v>
      </c>
      <c r="M88" s="593">
        <f>(J86-M86)/J86</f>
        <v>-0.28289473684210537</v>
      </c>
    </row>
    <row r="90" spans="2:13">
      <c r="B90" s="651" t="s">
        <v>205</v>
      </c>
      <c r="C90" s="1707" t="s">
        <v>200</v>
      </c>
      <c r="D90" s="651" t="s">
        <v>206</v>
      </c>
      <c r="E90" s="651" t="s">
        <v>10</v>
      </c>
      <c r="F90" s="651"/>
      <c r="K90" s="1699">
        <f>(K86-J86)/J86</f>
        <v>8.5526315789473756E-2</v>
      </c>
      <c r="L90" s="1699">
        <f>(L86-K86)/K86</f>
        <v>7.8787878787878685E-2</v>
      </c>
      <c r="M90" s="1699">
        <f>(M86-L86)/L86</f>
        <v>9.5505617977528184E-2</v>
      </c>
    </row>
    <row r="91" spans="2:13">
      <c r="B91" s="651">
        <v>2023</v>
      </c>
      <c r="C91" s="1712">
        <f>C87</f>
        <v>0.19298593683153836</v>
      </c>
      <c r="D91" s="651"/>
      <c r="E91" s="651"/>
      <c r="F91" s="651"/>
      <c r="K91" s="1699">
        <f>ABS(K90)</f>
        <v>8.5526315789473756E-2</v>
      </c>
      <c r="L91" s="1699">
        <f t="shared" ref="L91" si="7">ABS(L90)</f>
        <v>7.8787878787878685E-2</v>
      </c>
      <c r="M91" s="1699">
        <f t="shared" ref="M91" si="8">ABS(M90)</f>
        <v>9.5505617977528184E-2</v>
      </c>
    </row>
    <row r="92" spans="2:13">
      <c r="B92" s="651">
        <v>2024</v>
      </c>
      <c r="C92" s="651"/>
      <c r="D92" s="1710">
        <f>'Sustainability Performance'!P82</f>
        <v>38.881779999999999</v>
      </c>
      <c r="E92" s="1710">
        <f>D87</f>
        <v>0.20949131300791995</v>
      </c>
      <c r="F92" s="651"/>
    </row>
    <row r="93" spans="2:13">
      <c r="B93" s="651">
        <v>2025</v>
      </c>
      <c r="C93" s="651"/>
      <c r="D93" s="1710"/>
      <c r="E93" s="1710">
        <f>E87</f>
        <v>0.22599668918430149</v>
      </c>
      <c r="F93" s="651"/>
    </row>
    <row r="94" spans="2:13">
      <c r="B94" s="651">
        <v>2026</v>
      </c>
      <c r="C94" s="651"/>
      <c r="D94" s="1710"/>
      <c r="E94" s="1710">
        <f>F87</f>
        <v>0.24758064264572358</v>
      </c>
      <c r="F94" s="1708"/>
    </row>
    <row r="98" spans="2:13">
      <c r="B98" t="s">
        <v>230</v>
      </c>
      <c r="C98" s="1928" t="s">
        <v>231</v>
      </c>
      <c r="D98" s="1928"/>
      <c r="E98" s="1928"/>
      <c r="F98" s="1928"/>
      <c r="H98" t="s">
        <v>230</v>
      </c>
      <c r="I98" s="665" t="s">
        <v>224</v>
      </c>
      <c r="J98" s="475">
        <v>447448</v>
      </c>
      <c r="K98" s="475">
        <v>582120</v>
      </c>
      <c r="L98" s="475">
        <v>565821</v>
      </c>
      <c r="M98" s="475">
        <v>549978</v>
      </c>
    </row>
    <row r="99" spans="2:13">
      <c r="B99" t="s">
        <v>200</v>
      </c>
      <c r="C99">
        <v>2023</v>
      </c>
      <c r="D99" t="s">
        <v>201</v>
      </c>
      <c r="E99" t="s">
        <v>202</v>
      </c>
      <c r="F99" t="s">
        <v>203</v>
      </c>
      <c r="I99" t="s">
        <v>229</v>
      </c>
      <c r="J99" s="1713">
        <v>0.21299999999999999</v>
      </c>
      <c r="K99">
        <v>0.191</v>
      </c>
      <c r="L99">
        <v>0.17199999999999999</v>
      </c>
      <c r="M99">
        <v>0.155</v>
      </c>
    </row>
    <row r="100" spans="2:13">
      <c r="C100" s="1700">
        <f>'Sustainability Performance'!P37/Production!C20</f>
        <v>0.22791974140138208</v>
      </c>
      <c r="D100" s="1702">
        <f>C100-(C100*K104)</f>
        <v>0.20437873524724873</v>
      </c>
      <c r="E100" s="1702">
        <f>D100-(D100*L104)</f>
        <v>0.18404786629595171</v>
      </c>
      <c r="F100" s="1702">
        <f>E100-(E100*M104)</f>
        <v>0.16585708881321232</v>
      </c>
    </row>
    <row r="101" spans="2:13">
      <c r="K101" s="593">
        <f>(J99-K99)/J99</f>
        <v>0.10328638497652579</v>
      </c>
      <c r="L101" s="593">
        <f>(J99-L99)/J99</f>
        <v>0.19248826291079818</v>
      </c>
      <c r="M101" s="593">
        <f>(J99-M99)/J99</f>
        <v>0.27230046948356806</v>
      </c>
    </row>
    <row r="103" spans="2:13">
      <c r="B103" s="651" t="s">
        <v>205</v>
      </c>
      <c r="C103" s="1707" t="s">
        <v>200</v>
      </c>
      <c r="D103" s="651" t="s">
        <v>206</v>
      </c>
      <c r="E103" s="651" t="s">
        <v>10</v>
      </c>
      <c r="F103" s="651"/>
      <c r="K103" s="1699">
        <f>(K99-J99)/J99</f>
        <v>-0.10328638497652579</v>
      </c>
      <c r="L103" s="1699">
        <f>(L99-K99)/K99</f>
        <v>-9.9476439790576007E-2</v>
      </c>
      <c r="M103" s="1699">
        <f>(M99-L99)/L99</f>
        <v>-9.8837209302325521E-2</v>
      </c>
    </row>
    <row r="104" spans="2:13">
      <c r="B104" s="651">
        <v>2023</v>
      </c>
      <c r="C104" s="1712">
        <f>C100</f>
        <v>0.22791974140138208</v>
      </c>
      <c r="D104" s="651"/>
      <c r="E104" s="651"/>
      <c r="F104" s="651"/>
      <c r="K104" s="1699">
        <f>ABS(K103)</f>
        <v>0.10328638497652579</v>
      </c>
      <c r="L104" s="1699">
        <f t="shared" ref="L104" si="9">ABS(L103)</f>
        <v>9.9476439790576007E-2</v>
      </c>
      <c r="M104" s="1699">
        <f t="shared" ref="M104" si="10">ABS(M103)</f>
        <v>9.8837209302325521E-2</v>
      </c>
    </row>
    <row r="105" spans="2:13">
      <c r="B105" s="651">
        <v>2024</v>
      </c>
      <c r="C105" s="651"/>
      <c r="D105" s="1708">
        <f>IFERROR(('Sustainability Performance'!P83/Production!C42),"")</f>
        <v>0.21708915681882804</v>
      </c>
      <c r="E105" s="1710">
        <f>D100</f>
        <v>0.20437873524724873</v>
      </c>
      <c r="F105" s="651"/>
    </row>
    <row r="106" spans="2:13">
      <c r="B106" s="651">
        <v>2025</v>
      </c>
      <c r="C106" s="651"/>
      <c r="D106" s="1711"/>
      <c r="E106" s="1710">
        <f>E100</f>
        <v>0.18404786629595171</v>
      </c>
      <c r="F106" s="651"/>
    </row>
    <row r="107" spans="2:13">
      <c r="B107" s="651">
        <v>2026</v>
      </c>
      <c r="C107" s="651"/>
      <c r="D107" s="1708"/>
      <c r="E107" s="1710">
        <f>F100</f>
        <v>0.16585708881321232</v>
      </c>
      <c r="F107" s="1708"/>
    </row>
    <row r="111" spans="2:13">
      <c r="B111" t="s">
        <v>232</v>
      </c>
      <c r="C111" s="1928" t="s">
        <v>233</v>
      </c>
      <c r="D111" s="1928"/>
      <c r="E111" s="1928"/>
      <c r="F111" s="1928"/>
      <c r="H111" t="s">
        <v>234</v>
      </c>
      <c r="I111" s="665" t="s">
        <v>224</v>
      </c>
      <c r="J111" s="475">
        <v>490380</v>
      </c>
      <c r="K111" s="475">
        <v>573892</v>
      </c>
      <c r="L111" s="475">
        <v>545427</v>
      </c>
      <c r="M111" s="475">
        <v>518374</v>
      </c>
    </row>
    <row r="112" spans="2:13">
      <c r="B112" t="s">
        <v>200</v>
      </c>
      <c r="C112">
        <v>2023</v>
      </c>
      <c r="D112" t="s">
        <v>201</v>
      </c>
      <c r="E112" t="s">
        <v>202</v>
      </c>
      <c r="F112" t="s">
        <v>203</v>
      </c>
      <c r="I112" t="s">
        <v>229</v>
      </c>
      <c r="J112" s="1713">
        <v>0.23300000000000001</v>
      </c>
      <c r="K112">
        <v>0.20499999999999999</v>
      </c>
      <c r="L112">
        <v>0.18</v>
      </c>
      <c r="M112">
        <v>0.159</v>
      </c>
    </row>
    <row r="113" spans="2:13">
      <c r="C113" s="1701">
        <f>('Sustainability Performance'!P31*1000)/Production!C20</f>
        <v>0.27342772614132427</v>
      </c>
      <c r="D113" s="1702">
        <f>C113-(C113*K117)</f>
        <v>0.24056945862219514</v>
      </c>
      <c r="E113" s="1702">
        <f>D113-(D113*L117)</f>
        <v>0.21123171976582988</v>
      </c>
      <c r="F113" s="1702">
        <f>E113-(E113*M117)</f>
        <v>0.18658801912648307</v>
      </c>
    </row>
    <row r="114" spans="2:13">
      <c r="K114" s="593">
        <f>(J112-K112)/J112</f>
        <v>0.12017167381974259</v>
      </c>
      <c r="L114" s="593">
        <f>(J112-L112)/J112</f>
        <v>0.22746781115879836</v>
      </c>
      <c r="M114" s="593">
        <f>(J112-M112)/J112</f>
        <v>0.31759656652360518</v>
      </c>
    </row>
    <row r="116" spans="2:13">
      <c r="B116" s="651" t="s">
        <v>205</v>
      </c>
      <c r="C116" s="1707" t="s">
        <v>200</v>
      </c>
      <c r="D116" s="651" t="s">
        <v>206</v>
      </c>
      <c r="E116" s="651" t="s">
        <v>10</v>
      </c>
      <c r="F116" s="651"/>
      <c r="K116" s="1699">
        <f>(K112-J112)/J112</f>
        <v>-0.12017167381974259</v>
      </c>
      <c r="L116" s="1699">
        <f>(L112-K112)/K112</f>
        <v>-0.12195121951219511</v>
      </c>
      <c r="M116" s="1699">
        <f>(M112-L112)/L112</f>
        <v>-0.11666666666666663</v>
      </c>
    </row>
    <row r="117" spans="2:13">
      <c r="B117" s="651">
        <v>2023</v>
      </c>
      <c r="C117" s="1712">
        <f>C113</f>
        <v>0.27342772614132427</v>
      </c>
      <c r="D117" s="651"/>
      <c r="E117" s="651"/>
      <c r="F117" s="651"/>
      <c r="K117" s="1699">
        <f>ABS(K116)</f>
        <v>0.12017167381974259</v>
      </c>
      <c r="L117" s="1699">
        <f t="shared" ref="L117" si="11">ABS(L116)</f>
        <v>0.12195121951219511</v>
      </c>
      <c r="M117" s="1699">
        <f t="shared" ref="M117" si="12">ABS(M116)</f>
        <v>0.11666666666666663</v>
      </c>
    </row>
    <row r="118" spans="2:13">
      <c r="B118" s="651">
        <v>2024</v>
      </c>
      <c r="C118" s="651"/>
      <c r="D118" s="1708">
        <f>IFERROR((('Sustainability Performance'!P77*1000)/Production!C42),"")</f>
        <v>0.26029800416028576</v>
      </c>
      <c r="E118" s="1710">
        <f>D113</f>
        <v>0.24056945862219514</v>
      </c>
      <c r="F118" s="651"/>
    </row>
    <row r="119" spans="2:13">
      <c r="B119" s="651">
        <v>2025</v>
      </c>
      <c r="C119" s="651"/>
      <c r="D119" s="1711"/>
      <c r="E119" s="1710">
        <f>E113</f>
        <v>0.21123171976582988</v>
      </c>
      <c r="F119" s="651"/>
    </row>
    <row r="120" spans="2:13">
      <c r="B120" s="651">
        <v>2026</v>
      </c>
      <c r="C120" s="651"/>
      <c r="D120" s="1708"/>
      <c r="E120" s="1710">
        <f>F113</f>
        <v>0.18658801912648307</v>
      </c>
      <c r="F120" s="1708"/>
    </row>
    <row r="123" spans="2:13">
      <c r="B123" t="s">
        <v>232</v>
      </c>
      <c r="C123" s="1928" t="s">
        <v>235</v>
      </c>
      <c r="D123" s="1928"/>
      <c r="E123" s="1928"/>
      <c r="F123" s="1928"/>
      <c r="H123" t="s">
        <v>236</v>
      </c>
      <c r="I123" s="665" t="s">
        <v>224</v>
      </c>
      <c r="J123" s="475">
        <v>2662</v>
      </c>
      <c r="K123" s="475">
        <v>2396</v>
      </c>
      <c r="L123" s="475">
        <v>2156</v>
      </c>
      <c r="M123" s="475">
        <v>1941</v>
      </c>
    </row>
    <row r="124" spans="2:13">
      <c r="B124" t="s">
        <v>200</v>
      </c>
      <c r="C124">
        <v>2023</v>
      </c>
      <c r="D124" t="s">
        <v>201</v>
      </c>
      <c r="E124" t="s">
        <v>202</v>
      </c>
      <c r="F124" t="s">
        <v>203</v>
      </c>
      <c r="I124" t="s">
        <v>237</v>
      </c>
      <c r="J124" s="1713">
        <v>3.2</v>
      </c>
      <c r="K124">
        <v>2.8</v>
      </c>
      <c r="L124">
        <v>2.6</v>
      </c>
      <c r="M124">
        <v>2.2999999999999998</v>
      </c>
    </row>
    <row r="125" spans="2:13">
      <c r="C125" s="1701">
        <f>('Sustainability Performance'!P33)/People!AK39</f>
        <v>4.3476368159203984</v>
      </c>
      <c r="D125" s="1702">
        <f>C125-(C125*K129)</f>
        <v>3.8041822139303481</v>
      </c>
      <c r="E125" s="1702">
        <f>D125-(D125*L129)</f>
        <v>3.5324549129353233</v>
      </c>
      <c r="F125" s="1702">
        <f>E125-(E125*M129)</f>
        <v>3.1248639614427858</v>
      </c>
    </row>
    <row r="126" spans="2:13">
      <c r="K126" s="593">
        <f>(J124-K124)/J124</f>
        <v>0.12500000000000011</v>
      </c>
      <c r="L126" s="593">
        <f>(J124-L124)/J124</f>
        <v>0.18750000000000003</v>
      </c>
      <c r="M126" s="593">
        <f>(J124-M124)/J124</f>
        <v>0.28125000000000011</v>
      </c>
    </row>
    <row r="128" spans="2:13">
      <c r="B128" s="651" t="s">
        <v>205</v>
      </c>
      <c r="C128" s="1707" t="s">
        <v>200</v>
      </c>
      <c r="D128" s="651" t="s">
        <v>206</v>
      </c>
      <c r="E128" s="651" t="s">
        <v>10</v>
      </c>
      <c r="F128" s="651"/>
      <c r="K128" s="1699">
        <f>(K124-J124)/J124</f>
        <v>-0.12500000000000011</v>
      </c>
      <c r="L128" s="1699">
        <f>(L124-K124)/K124</f>
        <v>-7.1428571428571341E-2</v>
      </c>
      <c r="M128" s="1699">
        <f>(M124-L124)/L124</f>
        <v>-0.11538461538461549</v>
      </c>
    </row>
    <row r="129" spans="2:13">
      <c r="B129" s="651">
        <v>2023</v>
      </c>
      <c r="C129" s="1712">
        <f>C125</f>
        <v>4.3476368159203984</v>
      </c>
      <c r="D129" s="651"/>
      <c r="E129" s="651"/>
      <c r="F129" s="651"/>
      <c r="K129" s="1699">
        <f>ABS(K128)</f>
        <v>0.12500000000000011</v>
      </c>
      <c r="L129" s="1699">
        <f t="shared" ref="L129" si="13">ABS(L128)</f>
        <v>7.1428571428571341E-2</v>
      </c>
      <c r="M129" s="1699">
        <f t="shared" ref="M129" si="14">ABS(M128)</f>
        <v>0.11538461538461549</v>
      </c>
    </row>
    <row r="130" spans="2:13">
      <c r="B130" s="651">
        <v>2024</v>
      </c>
      <c r="C130" s="651"/>
      <c r="D130" s="1708" t="str">
        <f>IFERROR((('Sustainability Performance'!P89*1000)/Production!C54),"")</f>
        <v/>
      </c>
      <c r="E130" s="1710">
        <f>D125</f>
        <v>3.8041822139303481</v>
      </c>
      <c r="F130" s="651"/>
    </row>
    <row r="131" spans="2:13">
      <c r="B131" s="651">
        <v>2025</v>
      </c>
      <c r="C131" s="651"/>
      <c r="D131" s="1711"/>
      <c r="E131" s="1710">
        <f>E125</f>
        <v>3.5324549129353233</v>
      </c>
      <c r="F131" s="651"/>
    </row>
    <row r="132" spans="2:13">
      <c r="B132" s="651">
        <v>2026</v>
      </c>
      <c r="C132" s="651"/>
      <c r="D132" s="1708"/>
      <c r="E132" s="1710">
        <f>F125</f>
        <v>3.1248639614427858</v>
      </c>
      <c r="F132" s="1708"/>
    </row>
  </sheetData>
  <mergeCells count="8">
    <mergeCell ref="C98:F98"/>
    <mergeCell ref="C111:F111"/>
    <mergeCell ref="C123:F123"/>
    <mergeCell ref="C2:F2"/>
    <mergeCell ref="C19:F19"/>
    <mergeCell ref="C35:F35"/>
    <mergeCell ref="C68:F68"/>
    <mergeCell ref="C85:F85"/>
  </mergeCells>
  <dataValidations disablePrompts="1" count="1">
    <dataValidation type="list" allowBlank="1" showInputMessage="1" showErrorMessage="1" sqref="A2" xr:uid="{84B33D1F-27FB-4B17-90EC-31C1BB75B309}">
      <formula1>$A$6:$A$17</formula1>
    </dataValidation>
  </dataValidation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2ED10-5EEB-4C19-A953-6823A45FC0DF}">
  <dimension ref="B1:G15"/>
  <sheetViews>
    <sheetView showGridLines="0" zoomScale="115" zoomScaleNormal="115" workbookViewId="0">
      <selection activeCell="F33" sqref="F33"/>
    </sheetView>
  </sheetViews>
  <sheetFormatPr defaultRowHeight="15"/>
  <cols>
    <col min="2" max="2" width="27" bestFit="1" customWidth="1"/>
    <col min="3" max="3" width="20.85546875" bestFit="1" customWidth="1"/>
    <col min="4" max="4" width="27.42578125" bestFit="1" customWidth="1"/>
    <col min="5" max="5" width="21.85546875" bestFit="1" customWidth="1"/>
    <col min="6" max="6" width="24" bestFit="1" customWidth="1"/>
    <col min="7" max="7" width="20.42578125" bestFit="1" customWidth="1"/>
    <col min="8" max="8" width="12.5703125" bestFit="1" customWidth="1"/>
    <col min="9" max="9" width="20.42578125" bestFit="1" customWidth="1"/>
  </cols>
  <sheetData>
    <row r="1" spans="2:7" ht="46.5" customHeight="1"/>
    <row r="2" spans="2:7" ht="21.75" thickBot="1">
      <c r="B2" s="1929" t="s">
        <v>238</v>
      </c>
      <c r="C2" s="1929"/>
      <c r="D2" s="1929"/>
      <c r="E2" s="1929"/>
      <c r="F2" s="1929"/>
      <c r="G2" s="1929"/>
    </row>
    <row r="3" spans="2:7" ht="16.5" thickTop="1" thickBot="1"/>
    <row r="4" spans="2:7">
      <c r="B4" s="1686" t="s">
        <v>239</v>
      </c>
      <c r="C4" s="1687" t="s">
        <v>240</v>
      </c>
      <c r="D4" s="1687" t="s">
        <v>241</v>
      </c>
      <c r="E4" s="1687" t="s">
        <v>242</v>
      </c>
      <c r="F4" s="1687" t="s">
        <v>81</v>
      </c>
      <c r="G4" s="1688" t="s">
        <v>243</v>
      </c>
    </row>
    <row r="5" spans="2:7">
      <c r="B5" s="1689" t="s">
        <v>244</v>
      </c>
      <c r="C5" s="1690" t="s">
        <v>196</v>
      </c>
      <c r="D5" s="1690" t="s">
        <v>245</v>
      </c>
      <c r="E5" s="1690" t="s">
        <v>246</v>
      </c>
      <c r="F5" s="1690" t="s">
        <v>247</v>
      </c>
      <c r="G5" s="1692" t="s">
        <v>248</v>
      </c>
    </row>
    <row r="6" spans="2:7">
      <c r="B6" s="940"/>
      <c r="C6" s="1690" t="s">
        <v>207</v>
      </c>
      <c r="D6" s="1690" t="s">
        <v>249</v>
      </c>
      <c r="E6" s="1690" t="s">
        <v>250</v>
      </c>
      <c r="F6" s="1690" t="s">
        <v>251</v>
      </c>
      <c r="G6" s="1692" t="s">
        <v>252</v>
      </c>
    </row>
    <row r="7" spans="2:7">
      <c r="B7" s="940"/>
      <c r="C7" s="1690" t="s">
        <v>65</v>
      </c>
      <c r="D7" s="1690" t="s">
        <v>253</v>
      </c>
      <c r="E7" s="1690" t="s">
        <v>254</v>
      </c>
      <c r="F7" s="1690" t="s">
        <v>255</v>
      </c>
      <c r="G7" s="1692" t="s">
        <v>256</v>
      </c>
    </row>
    <row r="8" spans="2:7">
      <c r="B8" s="940"/>
      <c r="C8" s="1690" t="s">
        <v>257</v>
      </c>
      <c r="D8" s="651"/>
      <c r="E8" s="1690" t="s">
        <v>258</v>
      </c>
      <c r="F8" s="1690" t="s">
        <v>253</v>
      </c>
      <c r="G8" s="1692" t="s">
        <v>259</v>
      </c>
    </row>
    <row r="9" spans="2:7" ht="15.75" thickBot="1">
      <c r="B9" s="943"/>
      <c r="C9" s="1691" t="s">
        <v>260</v>
      </c>
      <c r="D9" s="713"/>
      <c r="E9" s="1691" t="s">
        <v>261</v>
      </c>
      <c r="F9" s="713"/>
      <c r="G9" s="1693" t="s">
        <v>262</v>
      </c>
    </row>
    <row r="10" spans="2:7">
      <c r="B10" s="665"/>
      <c r="C10" s="665"/>
      <c r="D10" s="665"/>
      <c r="E10" s="665"/>
      <c r="F10" s="665"/>
      <c r="G10" s="665"/>
    </row>
    <row r="11" spans="2:7" ht="15.75" thickBot="1">
      <c r="B11" s="665"/>
      <c r="C11" s="665"/>
      <c r="D11" s="665"/>
      <c r="E11" s="665"/>
      <c r="F11" s="665"/>
      <c r="G11" s="665"/>
    </row>
    <row r="12" spans="2:7">
      <c r="B12" s="1686" t="s">
        <v>263</v>
      </c>
      <c r="C12" s="1687" t="s">
        <v>264</v>
      </c>
      <c r="D12" s="1687" t="s">
        <v>265</v>
      </c>
      <c r="E12" s="1687" t="s">
        <v>266</v>
      </c>
      <c r="F12" s="1687" t="s">
        <v>267</v>
      </c>
      <c r="G12" s="1688" t="s">
        <v>109</v>
      </c>
    </row>
    <row r="13" spans="2:7">
      <c r="B13" s="1689" t="s">
        <v>268</v>
      </c>
      <c r="C13" s="1697" t="s">
        <v>269</v>
      </c>
      <c r="D13" s="1697" t="s">
        <v>270</v>
      </c>
      <c r="E13" s="1697" t="s">
        <v>271</v>
      </c>
      <c r="F13" s="1697" t="s">
        <v>272</v>
      </c>
      <c r="G13" s="1698" t="s">
        <v>273</v>
      </c>
    </row>
    <row r="14" spans="2:7">
      <c r="B14" s="1689" t="s">
        <v>274</v>
      </c>
      <c r="C14" s="1192"/>
      <c r="D14" s="1192"/>
      <c r="E14" s="1192"/>
      <c r="F14" s="1697" t="s">
        <v>253</v>
      </c>
      <c r="G14" s="588"/>
    </row>
    <row r="15" spans="2:7" ht="15.75" thickBot="1">
      <c r="B15" s="1696" t="s">
        <v>275</v>
      </c>
      <c r="C15" s="1350"/>
      <c r="D15" s="1350"/>
      <c r="E15" s="1350"/>
      <c r="F15" s="1350"/>
      <c r="G15" s="597"/>
    </row>
  </sheetData>
  <sheetProtection algorithmName="SHA-512" hashValue="Evei7uUJMiBdqPKCZR3UERyY0ku8xmKrKQ6tkAEoGbJqA92oV1lp37rNwji/VUKWiH/buWkbvrPUnjqPbx6uJw==" saltValue="Ol8MrioTD+OHgKj45/xkyA==" spinCount="100000" sheet="1" objects="1" scenarios="1"/>
  <mergeCells count="1">
    <mergeCell ref="B2:G2"/>
  </mergeCells>
  <hyperlinks>
    <hyperlink ref="B5" location="'Packaging Raw Data File'!A1" display="Packaging Raw Data File" xr:uid="{A1E8F119-8BB3-45FE-BB78-C44DC19584D1}"/>
    <hyperlink ref="C5" location="Electricity!A1" display="Electricity" xr:uid="{757B3AE5-F885-410B-8511-A88F3E7190DF}"/>
    <hyperlink ref="C6" location="Gas!A1" display="Gas" xr:uid="{D285EFC5-A53C-4DB9-9C89-B92557BF2C6A}"/>
    <hyperlink ref="C7" location="Water!A1" display="Water" xr:uid="{B4EB943A-0799-4B44-9002-DB5D17F74EB1}"/>
    <hyperlink ref="C8" location="'Solar Generation'!A1" display="Solar Generation" xr:uid="{1CD82DAB-D69A-4673-A813-1BAFC9C6430F}"/>
    <hyperlink ref="C9" location="'Production-Ciospi'!A1" display="Production-Ciospi" xr:uid="{B1E3CB0A-3EBA-43C5-9F02-3C954EB14793}"/>
    <hyperlink ref="D5" location="'Cat-1'!A1" display="Cat-1" xr:uid="{929E4BCF-5D2F-48F9-8F6B-E0EFCC6B499E}"/>
    <hyperlink ref="D6" location="Climate!A1" display="Climate-HCFC" xr:uid="{68CAD54B-98CB-4317-A3A7-0666C326B6C0}"/>
    <hyperlink ref="D7" location="Impacts!A1" display="Impacts" xr:uid="{07E91E75-60A2-4515-B41F-9CE9D6D7BD75}"/>
    <hyperlink ref="E5" location="'Import Data'!A1" display="Import Data" xr:uid="{BAA5693A-B441-4A28-8C48-A31257F580A0}"/>
    <hyperlink ref="E6" location="'Material Consumption'!A1" display="Material Consumption" xr:uid="{85DEEF8E-CEAB-4AE1-BAA7-6EAD29878741}"/>
    <hyperlink ref="E7" location="'Chemical Consumption'!A1" display="Chemical Consumption" xr:uid="{54B00AB6-66D6-47ED-A22F-E3224B4777E9}"/>
    <hyperlink ref="E8" location="'Recyclable Material'!A1" display="Recyclable Material" xr:uid="{8B2F463F-402B-438B-A830-F765A9A8CBF1}"/>
    <hyperlink ref="E9" location="'Purchased Materials'!A1" display="Purchased Materials" xr:uid="{EAB79BCF-E909-4730-863C-FDE9292C42F2}"/>
    <hyperlink ref="F5" location="People!A1" display="People- Incident Part" xr:uid="{BD838A5B-6E52-49E1-8070-655974197238}"/>
    <hyperlink ref="F6" location="'Environmental-Grievance'!A1" display="Environmental-Grievance" xr:uid="{42182CC8-4911-48A2-9820-42E97D4E5C75}"/>
    <hyperlink ref="F7" location="'Environmental Cost'!A1" display="Environmental Cost" xr:uid="{A5D75353-EFBE-4EF9-9601-9C43744D9D08}"/>
    <hyperlink ref="F8" location="Impacts!A1" display="Impacts" xr:uid="{5967F732-233C-4892-B6BF-72BD262E6F0F}"/>
    <hyperlink ref="G5" location="'Cat-3'!A1" display="Cat-3" xr:uid="{525D2361-A8A2-4B21-8294-AC0CC88A7A00}"/>
    <hyperlink ref="G6" location="'Fuel for Shuttle Micro'!A1" display="Fuel for Shuttle Micro" xr:uid="{6AF424A0-ECFE-47A1-90E7-2305BBE7B58B}"/>
    <hyperlink ref="G7" location="'Diesel '!A1" display="Diesel " xr:uid="{CCC26F7E-44ED-455C-8DD2-5ABAED80B093}"/>
    <hyperlink ref="G8" location="'Business Travel'!A1" display="Business Travel" xr:uid="{D08441AF-3084-4044-A424-F3B89F09CAB6}"/>
    <hyperlink ref="G9" location="'Wastage Raw Data'!A1" display="Wastage Raw Data" xr:uid="{58B86F5D-8FC6-4996-9B1B-628397444B18}"/>
    <hyperlink ref="B13" location="People!A1" display="People- Gender Diversity" xr:uid="{82B0F44C-9503-4BD4-8E2B-412FA45560A1}"/>
    <hyperlink ref="B15" location="People!A1" display="People- Attrition" xr:uid="{D6828EA7-2CEB-48AE-83A3-852888BF86BF}"/>
    <hyperlink ref="B14" location="People!A1" display="People- Hiring" xr:uid="{289BA65A-EF83-4DBC-9CF6-558690BF505F}"/>
    <hyperlink ref="C13" location="People!A1" display="People- Training" xr:uid="{7C1BD0F3-9AD1-4B8C-99AD-AF6159B9AA98}"/>
    <hyperlink ref="D13" location="'Export Data'!A1" display="Export Data" xr:uid="{6F2BA09C-1427-4D72-9C86-A9281FE77B43}"/>
    <hyperlink ref="E13" location="'Recycle Water'!A1" display="Recycle Water" xr:uid="{BC2CE942-F706-466C-BC6B-74305DF1D03E}"/>
    <hyperlink ref="F13" location="'Food Wastage'!A1" display="Food Wastage" xr:uid="{23CB6ABB-F863-4CCE-A2C6-B147669BE26D}"/>
    <hyperlink ref="F14" location="Impacts!A1" display="Impacts" xr:uid="{171CF7D0-993B-4CD5-A17B-5330DBA2DBD4}"/>
    <hyperlink ref="G13" location="'Rain water Collection'!A1" display="Rain water Collection" xr:uid="{DCFD77DC-9D41-4F94-AA97-6A27DD9C206E}"/>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523A5-402D-4E8A-A508-02DE1D9FA2EB}">
  <dimension ref="A1:V90"/>
  <sheetViews>
    <sheetView showGridLines="0" zoomScale="80" zoomScaleNormal="80" workbookViewId="0">
      <pane xSplit="3" ySplit="5" topLeftCell="D6" activePane="bottomRight" state="frozen"/>
      <selection pane="topRight" activeCell="E36" sqref="E36"/>
      <selection pane="bottomLeft" activeCell="E36" sqref="E36"/>
      <selection pane="bottomRight" activeCell="G144" sqref="G144"/>
    </sheetView>
  </sheetViews>
  <sheetFormatPr defaultColWidth="9.140625" defaultRowHeight="18"/>
  <cols>
    <col min="1" max="1" width="9.140625" style="7"/>
    <col min="2" max="2" width="34.7109375" style="227" bestFit="1" customWidth="1"/>
    <col min="3" max="3" width="15" style="228" bestFit="1" customWidth="1"/>
    <col min="4" max="16" width="19.140625" style="365" customWidth="1"/>
    <col min="17" max="17" width="13.42578125" style="366" customWidth="1"/>
    <col min="18" max="18" width="14.7109375" style="367" customWidth="1"/>
    <col min="19" max="20" width="15.85546875" style="367" customWidth="1"/>
    <col min="21" max="21" width="9.140625" style="229"/>
    <col min="22" max="22" width="38.140625" style="368" customWidth="1"/>
    <col min="23" max="16384" width="9.140625" style="7"/>
  </cols>
  <sheetData>
    <row r="1" spans="1:22" ht="46.5" customHeight="1"/>
    <row r="2" spans="1:22" ht="21.75" customHeight="1"/>
    <row r="3" spans="1:22" ht="25.5" customHeight="1">
      <c r="P3" s="1781"/>
    </row>
    <row r="4" spans="1:22" ht="25.5" customHeight="1" thickBot="1"/>
    <row r="5" spans="1:22" ht="36.75" thickBot="1">
      <c r="B5" s="230" t="s">
        <v>276</v>
      </c>
      <c r="C5" s="231" t="s">
        <v>277</v>
      </c>
      <c r="D5" s="257" t="s">
        <v>278</v>
      </c>
      <c r="E5" s="257" t="s">
        <v>279</v>
      </c>
      <c r="F5" s="257" t="s">
        <v>280</v>
      </c>
      <c r="G5" s="257" t="s">
        <v>281</v>
      </c>
      <c r="H5" s="257" t="s">
        <v>132</v>
      </c>
      <c r="I5" s="257" t="s">
        <v>282</v>
      </c>
      <c r="J5" s="257" t="s">
        <v>283</v>
      </c>
      <c r="K5" s="257" t="s">
        <v>284</v>
      </c>
      <c r="L5" s="257" t="s">
        <v>285</v>
      </c>
      <c r="M5" s="257" t="s">
        <v>286</v>
      </c>
      <c r="N5" s="257" t="s">
        <v>287</v>
      </c>
      <c r="O5" s="257" t="s">
        <v>288</v>
      </c>
      <c r="P5" s="257" t="s">
        <v>289</v>
      </c>
      <c r="Q5" s="258" t="s">
        <v>38</v>
      </c>
      <c r="R5" s="259" t="s">
        <v>290</v>
      </c>
      <c r="S5" s="259" t="s">
        <v>291</v>
      </c>
      <c r="T5" s="259" t="s">
        <v>292</v>
      </c>
      <c r="U5" s="260" t="s">
        <v>293</v>
      </c>
      <c r="V5" s="256" t="s">
        <v>294</v>
      </c>
    </row>
    <row r="6" spans="1:22" ht="18.75" thickBot="1">
      <c r="A6" s="1933">
        <v>2023</v>
      </c>
      <c r="B6" s="232"/>
      <c r="C6" s="233"/>
      <c r="D6" s="234"/>
      <c r="E6" s="234"/>
      <c r="F6" s="234"/>
      <c r="G6" s="234"/>
      <c r="H6" s="234"/>
      <c r="I6" s="234"/>
      <c r="J6" s="234"/>
      <c r="K6" s="234"/>
      <c r="L6" s="234"/>
      <c r="M6" s="234"/>
      <c r="N6" s="234"/>
      <c r="O6" s="234"/>
      <c r="P6" s="234"/>
      <c r="Q6" s="235"/>
      <c r="R6" s="236"/>
      <c r="S6" s="236"/>
      <c r="T6" s="236"/>
      <c r="U6" s="237"/>
      <c r="V6" s="238"/>
    </row>
    <row r="7" spans="1:22" ht="18.75" thickBot="1">
      <c r="A7" s="1933"/>
      <c r="B7" s="239" t="s">
        <v>295</v>
      </c>
      <c r="C7" s="240" t="s">
        <v>296</v>
      </c>
      <c r="D7" s="361">
        <f>Production!$L8</f>
        <v>157258.49583333332</v>
      </c>
      <c r="E7" s="361">
        <f>Production!$L9</f>
        <v>162692.98000000001</v>
      </c>
      <c r="F7" s="361">
        <f>Production!$L10</f>
        <v>150371.86333333334</v>
      </c>
      <c r="G7" s="361">
        <f>Production!$L11</f>
        <v>175263.78333333335</v>
      </c>
      <c r="H7" s="361">
        <f>Production!$L12</f>
        <v>211660.26333333334</v>
      </c>
      <c r="I7" s="361">
        <f>Production!$L13</f>
        <v>194768.66666666666</v>
      </c>
      <c r="J7" s="361">
        <f>Production!$L14</f>
        <v>175411.07666666666</v>
      </c>
      <c r="K7" s="361">
        <f>Production!$L15</f>
        <v>160336.92333333334</v>
      </c>
      <c r="L7" s="361">
        <f>Production!$L16</f>
        <v>131074.92462499999</v>
      </c>
      <c r="M7" s="361">
        <f>Production!$L17</f>
        <v>157888.54999999999</v>
      </c>
      <c r="N7" s="361">
        <f>Production!$L18</f>
        <v>176827.69500000001</v>
      </c>
      <c r="O7" s="361">
        <f>Production!$L19</f>
        <v>155998.29958333331</v>
      </c>
      <c r="P7" s="361">
        <f>IF(SUM(D7:O7)=0,"",SUM(D7:O7))</f>
        <v>2009553.5217083334</v>
      </c>
      <c r="Q7" s="241"/>
      <c r="R7" s="242"/>
      <c r="S7" s="242"/>
      <c r="T7" s="242"/>
      <c r="U7" s="243"/>
      <c r="V7" s="244"/>
    </row>
    <row r="8" spans="1:22" ht="18.75" thickBot="1">
      <c r="B8" s="232"/>
      <c r="C8" s="233"/>
      <c r="D8" s="362"/>
      <c r="E8" s="362"/>
      <c r="F8" s="362"/>
      <c r="G8" s="362"/>
      <c r="H8" s="362"/>
      <c r="I8" s="362"/>
      <c r="J8" s="362"/>
      <c r="K8" s="362"/>
      <c r="L8" s="362"/>
      <c r="M8" s="362"/>
      <c r="N8" s="362"/>
      <c r="O8" s="362"/>
      <c r="P8" s="362"/>
      <c r="Q8" s="235" t="s">
        <v>38</v>
      </c>
      <c r="R8" s="236"/>
      <c r="S8" s="236"/>
      <c r="T8" s="236"/>
      <c r="U8" s="237"/>
      <c r="V8" s="238"/>
    </row>
    <row r="9" spans="1:22" ht="36">
      <c r="B9" s="245" t="s">
        <v>297</v>
      </c>
      <c r="C9" s="246" t="s">
        <v>298</v>
      </c>
      <c r="D9" s="363">
        <f>People!$J7</f>
        <v>1</v>
      </c>
      <c r="E9" s="363">
        <f>People!$J8</f>
        <v>3</v>
      </c>
      <c r="F9" s="363">
        <f>People!$J9</f>
        <v>1</v>
      </c>
      <c r="G9" s="363">
        <f>People!$J10</f>
        <v>2</v>
      </c>
      <c r="H9" s="363">
        <f>People!$J11</f>
        <v>3</v>
      </c>
      <c r="I9" s="363">
        <f>People!$J12</f>
        <v>2</v>
      </c>
      <c r="J9" s="364">
        <f>People!$J13</f>
        <v>2</v>
      </c>
      <c r="K9" s="364">
        <f>People!$J14</f>
        <v>2</v>
      </c>
      <c r="L9" s="364">
        <f>People!$J15</f>
        <v>2</v>
      </c>
      <c r="M9" s="369" t="str">
        <f>People!$J16</f>
        <v/>
      </c>
      <c r="N9" s="369">
        <f>People!$J17</f>
        <v>1</v>
      </c>
      <c r="O9" s="369">
        <f>People!$J18</f>
        <v>1</v>
      </c>
      <c r="P9" s="369">
        <f>IF(SUM(D9:O9)=0,"",SUM(D9:O9))</f>
        <v>20</v>
      </c>
      <c r="Q9" s="370" t="str">
        <f>IFERROR((R9-P9)/R9,"")</f>
        <v/>
      </c>
      <c r="R9" s="371"/>
      <c r="S9" s="371"/>
      <c r="T9" s="371"/>
      <c r="U9" s="247"/>
      <c r="V9" s="372"/>
    </row>
    <row r="10" spans="1:22">
      <c r="B10" s="248" t="s">
        <v>299</v>
      </c>
      <c r="C10" s="249" t="s">
        <v>300</v>
      </c>
      <c r="D10" s="360">
        <f>People!$AL27</f>
        <v>0.2252141982864137</v>
      </c>
      <c r="E10" s="373">
        <f>People!$AL28</f>
        <v>0.2219482120838471</v>
      </c>
      <c r="F10" s="373">
        <f>People!$AL29</f>
        <v>0.21945137157107231</v>
      </c>
      <c r="G10" s="373">
        <f>People!$AL30</f>
        <v>0.22538552787663108</v>
      </c>
      <c r="H10" s="373">
        <f>People!$AL31</f>
        <v>0.22605790645879734</v>
      </c>
      <c r="I10" s="373">
        <f>People!$AL32</f>
        <v>0.21922246220302377</v>
      </c>
      <c r="J10" s="373">
        <f>People!$AL33</f>
        <v>0.22183507549361209</v>
      </c>
      <c r="K10" s="373">
        <f>People!$AL34</f>
        <v>0.22209026128266032</v>
      </c>
      <c r="L10" s="373">
        <f>People!$AL35</f>
        <v>0.21927710843373494</v>
      </c>
      <c r="M10" s="373">
        <f>People!$AL36</f>
        <v>0.22074788902291917</v>
      </c>
      <c r="N10" s="373">
        <f>People!$AL37</f>
        <v>0.22358722358722358</v>
      </c>
      <c r="O10" s="373">
        <f>People!$AL38</f>
        <v>0.21766169154228857</v>
      </c>
      <c r="P10" s="374"/>
      <c r="Q10" s="375">
        <f>People!AL39</f>
        <v>0.21766169154228857</v>
      </c>
      <c r="R10" s="376"/>
      <c r="S10" s="376"/>
      <c r="T10" s="376"/>
      <c r="U10" s="250"/>
      <c r="V10" s="377"/>
    </row>
    <row r="11" spans="1:22">
      <c r="B11" s="248" t="s">
        <v>301</v>
      </c>
      <c r="C11" s="249" t="s">
        <v>300</v>
      </c>
      <c r="D11" s="451">
        <f>People!$AQ27</f>
        <v>0.13924050632911392</v>
      </c>
      <c r="E11" s="373">
        <f>People!$AQ28</f>
        <v>0.11688311688311688</v>
      </c>
      <c r="F11" s="373">
        <f>People!$AQ29</f>
        <v>0.11688311688311688</v>
      </c>
      <c r="G11" s="373">
        <f>People!$AQ30</f>
        <v>0.12658227848101267</v>
      </c>
      <c r="H11" s="373">
        <f>People!$AQ31</f>
        <v>0.11688311688311688</v>
      </c>
      <c r="I11" s="373">
        <f>People!$AQ32</f>
        <v>0.11688311688311688</v>
      </c>
      <c r="J11" s="373">
        <f>People!$AQ33</f>
        <v>0.12658227848101267</v>
      </c>
      <c r="K11" s="373">
        <f>People!$AQ34</f>
        <v>0.11392405063291139</v>
      </c>
      <c r="L11" s="373">
        <f>People!$AQ35</f>
        <v>0.12658227848101267</v>
      </c>
      <c r="M11" s="373">
        <f>People!$AQ36</f>
        <v>0.12987012987012986</v>
      </c>
      <c r="N11" s="373">
        <f>People!$AQ37</f>
        <v>0.12658227848101267</v>
      </c>
      <c r="O11" s="373">
        <f>People!$AQ38</f>
        <v>0.1125</v>
      </c>
      <c r="P11" s="374"/>
      <c r="Q11" s="375">
        <f>People!AQ39</f>
        <v>0.1125</v>
      </c>
      <c r="R11" s="376"/>
      <c r="S11" s="376"/>
      <c r="T11" s="376"/>
      <c r="U11" s="250"/>
      <c r="V11" s="377"/>
    </row>
    <row r="12" spans="1:22" ht="18.75" thickBot="1">
      <c r="B12" s="251" t="s">
        <v>302</v>
      </c>
      <c r="C12" s="252" t="s">
        <v>303</v>
      </c>
      <c r="D12" s="460">
        <f>People!$T48</f>
        <v>1.7221542227662179</v>
      </c>
      <c r="E12" s="378">
        <f>People!$T49</f>
        <v>3.0172626387176327</v>
      </c>
      <c r="F12" s="455">
        <f>People!$T50</f>
        <v>1.4900249376558603</v>
      </c>
      <c r="G12" s="460">
        <f>People!$T51</f>
        <v>1.5800711743772242</v>
      </c>
      <c r="H12" s="460">
        <f>People!$T52</f>
        <v>2.0924276169265035</v>
      </c>
      <c r="I12" s="460">
        <f>People!$T53</f>
        <v>2.2516198704103672</v>
      </c>
      <c r="J12" s="378">
        <f>People!$T54</f>
        <v>2.0209059233449476</v>
      </c>
      <c r="K12" s="378">
        <f>People!$T55</f>
        <v>2.7209026128266034</v>
      </c>
      <c r="L12" s="378">
        <f>People!$T56</f>
        <v>2.463855421686747</v>
      </c>
      <c r="M12" s="378">
        <f>People!$T57</f>
        <v>2.3703256936067549</v>
      </c>
      <c r="N12" s="378">
        <f>People!$T58</f>
        <v>2.6584766584766584</v>
      </c>
      <c r="O12" s="378">
        <f>People!$T59</f>
        <v>1.5024875621890548</v>
      </c>
      <c r="P12" s="1716">
        <f>IF(SUM(D12:O12)=0,"",SUM(D12:O12))</f>
        <v>25.890514332984573</v>
      </c>
      <c r="Q12" s="379"/>
      <c r="R12" s="380"/>
      <c r="S12" s="380"/>
      <c r="T12" s="380"/>
      <c r="U12" s="253"/>
      <c r="V12" s="381"/>
    </row>
    <row r="13" spans="1:22" ht="18.75" thickBot="1">
      <c r="D13" s="382"/>
      <c r="E13" s="382"/>
      <c r="F13" s="382"/>
      <c r="G13" s="382"/>
      <c r="H13" s="382"/>
      <c r="I13" s="382"/>
      <c r="J13" s="382"/>
      <c r="K13" s="382"/>
      <c r="L13" s="382"/>
      <c r="M13" s="382"/>
      <c r="N13" s="382"/>
      <c r="O13" s="382"/>
      <c r="P13" s="382"/>
    </row>
    <row r="14" spans="1:22">
      <c r="B14" s="1931" t="s">
        <v>304</v>
      </c>
      <c r="C14" s="246" t="s">
        <v>305</v>
      </c>
      <c r="D14" s="461">
        <f>IFERROR('GHG calculations'!$P9/1000,"")</f>
        <v>415.13947670109292</v>
      </c>
      <c r="E14" s="461">
        <f>IFERROR('GHG calculations'!$P10/1000,"")</f>
        <v>393.40134968852669</v>
      </c>
      <c r="F14" s="461">
        <f>IFERROR('GHG calculations'!$P11/1000,"")</f>
        <v>422.60864334611244</v>
      </c>
      <c r="G14" s="461">
        <f>IFERROR('GHG calculations'!$P12/1000,"")</f>
        <v>392.76565859429553</v>
      </c>
      <c r="H14" s="461">
        <f>IFERROR('GHG calculations'!$P13/1000,"")</f>
        <v>517.26846101915407</v>
      </c>
      <c r="I14" s="461">
        <f>IFERROR('GHG calculations'!$P14/1000,"")</f>
        <v>482.74828832690753</v>
      </c>
      <c r="J14" s="383">
        <f>IFERROR('GHG calculations'!$P15/1000,"")</f>
        <v>442.2356866351937</v>
      </c>
      <c r="K14" s="383">
        <f>IFERROR('GHG calculations'!$P16/1000,"")</f>
        <v>455.48867300805682</v>
      </c>
      <c r="L14" s="383">
        <f>IFERROR('GHG calculations'!$P17/1000,"")</f>
        <v>484.19813793187035</v>
      </c>
      <c r="M14" s="383">
        <f>IFERROR('GHG calculations'!$P18/1000,"")</f>
        <v>478.85096542382882</v>
      </c>
      <c r="N14" s="383">
        <f>IFERROR('GHG calculations'!$P19/1000,"")</f>
        <v>515.35374790806145</v>
      </c>
      <c r="O14" s="383">
        <f>IFERROR('GHG calculations'!$P20/1000,"")</f>
        <v>428.74635434779839</v>
      </c>
      <c r="P14" s="383">
        <f>IF(SUM(D14:O14)=0,"",SUM(D14:O14))</f>
        <v>5428.8054429308995</v>
      </c>
      <c r="Q14" s="370" t="str">
        <f>IFERROR((R14-P14)/R14,"")</f>
        <v/>
      </c>
      <c r="R14" s="384"/>
      <c r="S14" s="384"/>
      <c r="T14" s="384"/>
      <c r="U14" s="254"/>
      <c r="V14" s="385"/>
    </row>
    <row r="15" spans="1:22">
      <c r="B15" s="1930"/>
      <c r="C15" s="249" t="s">
        <v>306</v>
      </c>
      <c r="D15" s="462">
        <f>IFERROR((D14*1000)/$D$7,"")</f>
        <v>2.63985404732008</v>
      </c>
      <c r="E15" s="462">
        <f>IFERROR((E14*1000)/$E$7,"")</f>
        <v>2.4180597693184223</v>
      </c>
      <c r="F15" s="462">
        <f>IFERROR((F14*1000)/$F$7,"")</f>
        <v>2.8104236655583934</v>
      </c>
      <c r="G15" s="462">
        <f>IFERROR((G14*1000)/$G$7,"")</f>
        <v>2.2409972620943392</v>
      </c>
      <c r="H15" s="462">
        <f>IFERROR((H14*1000)/$H$7,"")</f>
        <v>2.4438619364492307</v>
      </c>
      <c r="I15" s="462">
        <f>IFERROR((I14*1000)/$I$7,"")</f>
        <v>2.4785726399878194</v>
      </c>
      <c r="J15" s="386">
        <f>IFERROR((J14*1000)/$J$7,"")</f>
        <v>2.5211388872298719</v>
      </c>
      <c r="K15" s="386">
        <f>IFERROR((K14*1000)/$K$7,"")</f>
        <v>2.8408220860089481</v>
      </c>
      <c r="L15" s="386">
        <f>IFERROR((L14*1000)/$L$7,"")</f>
        <v>3.6940561996670338</v>
      </c>
      <c r="M15" s="386">
        <f>IFERROR((M14*1000)/$M$7,"")</f>
        <v>3.0328416178616426</v>
      </c>
      <c r="N15" s="386">
        <f>IFERROR((N14*1000)/$N$7,"")</f>
        <v>2.9144402289927571</v>
      </c>
      <c r="O15" s="386">
        <f>IFERROR((O14*1000)/$O$7,"")</f>
        <v>2.7484040242295382</v>
      </c>
      <c r="P15" s="386">
        <f>IFERROR((P14*1000)/$P$7,"")</f>
        <v>2.7014983100902135</v>
      </c>
      <c r="Q15" s="375" t="str">
        <f>IFERROR((R15-P15)/R15,"")</f>
        <v/>
      </c>
      <c r="R15" s="387"/>
      <c r="S15" s="387"/>
      <c r="T15" s="387"/>
      <c r="U15" s="255"/>
      <c r="V15" s="388"/>
    </row>
    <row r="16" spans="1:22" ht="36.75" thickBot="1">
      <c r="B16" s="251" t="s">
        <v>307</v>
      </c>
      <c r="C16" s="252" t="s">
        <v>308</v>
      </c>
      <c r="D16" s="389">
        <f>IF(Climate!$C7=0,"",Climate!$C7)</f>
        <v>38</v>
      </c>
      <c r="E16" s="389">
        <f>IF(Climate!$C8=0,"",Climate!$C8)</f>
        <v>36</v>
      </c>
      <c r="F16" s="389">
        <f>IF(Climate!$C9=0,"",Climate!$C9)</f>
        <v>36</v>
      </c>
      <c r="G16" s="389">
        <f>IF(Climate!$C10=0,"",Climate!$C10)</f>
        <v>35</v>
      </c>
      <c r="H16" s="389">
        <f>IF(Climate!$C11=0,"",Climate!$C11)</f>
        <v>34</v>
      </c>
      <c r="I16" s="389">
        <f>IF(Climate!$C12=0,"",Climate!$C12)</f>
        <v>34</v>
      </c>
      <c r="J16" s="389">
        <f>IF(Climate!$C13=0,"",Climate!$C13)</f>
        <v>34</v>
      </c>
      <c r="K16" s="389">
        <f>IF(Climate!$C14=0,"",Climate!$C14)</f>
        <v>34</v>
      </c>
      <c r="L16" s="389">
        <f>IF(Climate!$C15=0,"",Climate!$C15)</f>
        <v>34</v>
      </c>
      <c r="M16" s="389">
        <f>IF(Climate!$C16=0,"",Climate!$C16)</f>
        <v>34</v>
      </c>
      <c r="N16" s="389">
        <f>IF(Climate!$C17=0,"",Climate!$C17)</f>
        <v>34</v>
      </c>
      <c r="O16" s="389">
        <f>IF(Climate!$C18=0,"",Climate!$C18)</f>
        <v>34</v>
      </c>
      <c r="P16" s="389"/>
      <c r="Q16" s="390" t="str">
        <f>IFERROR((R16-P16)/R16,"")</f>
        <v/>
      </c>
      <c r="R16" s="380"/>
      <c r="S16" s="380"/>
      <c r="T16" s="380"/>
      <c r="U16" s="253"/>
      <c r="V16" s="381"/>
    </row>
    <row r="17" spans="2:22" ht="18.75" thickBot="1">
      <c r="D17" s="391"/>
      <c r="E17" s="391"/>
      <c r="F17" s="391"/>
      <c r="G17" s="391"/>
      <c r="H17" s="391"/>
      <c r="I17" s="391"/>
      <c r="J17" s="391"/>
      <c r="K17" s="391"/>
      <c r="L17" s="391"/>
      <c r="M17" s="391"/>
      <c r="N17" s="391"/>
      <c r="O17" s="391"/>
      <c r="P17" s="391"/>
    </row>
    <row r="18" spans="2:22">
      <c r="B18" s="1931" t="s">
        <v>309</v>
      </c>
      <c r="C18" s="246" t="s">
        <v>310</v>
      </c>
      <c r="D18" s="369">
        <f>'Water-Sum'!$J7</f>
        <v>2683</v>
      </c>
      <c r="E18" s="369">
        <f>'Water-Sum'!$J8</f>
        <v>2872</v>
      </c>
      <c r="F18" s="369">
        <f>'Water-Sum'!$J9</f>
        <v>3891</v>
      </c>
      <c r="G18" s="369">
        <f>'Water-Sum'!$J10</f>
        <v>3256</v>
      </c>
      <c r="H18" s="369">
        <f>'Water-Sum'!$J11</f>
        <v>3662</v>
      </c>
      <c r="I18" s="369">
        <f>'Water-Sum'!$J12</f>
        <v>3266</v>
      </c>
      <c r="J18" s="369">
        <f>'Water-Sum'!$J31</f>
        <v>2805</v>
      </c>
      <c r="K18" s="369">
        <f>'Water-Sum'!$J32</f>
        <v>2183</v>
      </c>
      <c r="L18" s="369">
        <f>'Water-Sum'!$J33</f>
        <v>2675</v>
      </c>
      <c r="M18" s="369">
        <f>'Water-Sum'!$J34</f>
        <v>2669</v>
      </c>
      <c r="N18" s="369">
        <f>'Water-Sum'!$J35</f>
        <v>2886</v>
      </c>
      <c r="O18" s="369">
        <f>'Water-Sum'!$J36</f>
        <v>2426</v>
      </c>
      <c r="P18" s="369">
        <f>IF(SUM(D18:O18)=0,"",SUM(D18:O18))</f>
        <v>35274</v>
      </c>
      <c r="Q18" s="370" t="str">
        <f t="shared" ref="Q18:Q19" si="0">IFERROR((R18-P18)/R18,"")</f>
        <v/>
      </c>
      <c r="R18" s="384"/>
      <c r="S18" s="384"/>
      <c r="T18" s="384"/>
      <c r="U18" s="254"/>
      <c r="V18" s="385"/>
    </row>
    <row r="19" spans="2:22">
      <c r="B19" s="1930"/>
      <c r="C19" s="249" t="s">
        <v>60</v>
      </c>
      <c r="D19" s="392">
        <f>IFERROR((D18*1000)/$D$7,"")</f>
        <v>17.061081411102354</v>
      </c>
      <c r="E19" s="392">
        <f>IFERROR((E18*1000)/$E$7,"")</f>
        <v>17.652882134189195</v>
      </c>
      <c r="F19" s="392">
        <f>IFERROR((F18*1000)/$F$7,"")</f>
        <v>25.875851464144699</v>
      </c>
      <c r="G19" s="392">
        <f>IFERROR((G18*1000)/$G$7,"")</f>
        <v>18.577711481940504</v>
      </c>
      <c r="H19" s="392">
        <f>IFERROR((H18*1000)/$H$7,"")</f>
        <v>17.30131080028421</v>
      </c>
      <c r="I19" s="392">
        <f>IFERROR((I18*1000)/$I$7,"")</f>
        <v>16.76861096754098</v>
      </c>
      <c r="J19" s="392">
        <f>IFERROR((J18*1000)/$J$7,"")</f>
        <v>15.991008397550265</v>
      </c>
      <c r="K19" s="392">
        <f>IFERROR((K18*1000)/$K$7,"")</f>
        <v>13.61507976214337</v>
      </c>
      <c r="L19" s="392">
        <f>IFERROR((L18*1000)/$L$7,"")</f>
        <v>20.408175001077176</v>
      </c>
      <c r="M19" s="392">
        <f>IFERROR((M18*1000)/$M$7,"")</f>
        <v>16.904329034626009</v>
      </c>
      <c r="N19" s="392">
        <f>IFERROR((N18*1000)/$N$7,"")</f>
        <v>16.320972797841424</v>
      </c>
      <c r="O19" s="392">
        <f>IFERROR((O18*1000)/$O$7,"")</f>
        <v>15.551451563765578</v>
      </c>
      <c r="P19" s="392">
        <f>IFERROR((P18*1000)/$P$7,"")</f>
        <v>17.553152786900327</v>
      </c>
      <c r="Q19" s="375" t="str">
        <f t="shared" si="0"/>
        <v/>
      </c>
      <c r="R19" s="387"/>
      <c r="S19" s="387"/>
      <c r="T19" s="387"/>
      <c r="U19" s="255"/>
      <c r="V19" s="388"/>
    </row>
    <row r="20" spans="2:22">
      <c r="B20" s="1930" t="s">
        <v>311</v>
      </c>
      <c r="C20" s="249" t="s">
        <v>310</v>
      </c>
      <c r="D20" s="392">
        <f>IF('Water-Sum'!$C25=0,"",'Water-Sum'!$C25)</f>
        <v>55.4</v>
      </c>
      <c r="E20" s="392">
        <f>IF('Water-Sum'!$C26=0,"",'Water-Sum'!$C26)</f>
        <v>105.9</v>
      </c>
      <c r="F20" s="392">
        <f>IF('Water-Sum'!$C27=0,"",'Water-Sum'!$C27)</f>
        <v>78.5</v>
      </c>
      <c r="G20" s="392">
        <f>IF('Water-Sum'!$C28=0,"",'Water-Sum'!$C28)</f>
        <v>96.6</v>
      </c>
      <c r="H20" s="392">
        <f>IF('Water-Sum'!$C29=0,"",'Water-Sum'!$C29)</f>
        <v>144.4</v>
      </c>
      <c r="I20" s="392">
        <f>IF('Water-Sum'!$C30=0,"",'Water-Sum'!$C30)</f>
        <v>204</v>
      </c>
      <c r="J20" s="392">
        <f>IF('Water-Sum'!$C31=0,"",'Water-Sum'!$C31)</f>
        <v>159.69999999999999</v>
      </c>
      <c r="K20" s="392">
        <f>IF('Water-Sum'!$C32=0,"",'Water-Sum'!$C32)</f>
        <v>201.9</v>
      </c>
      <c r="L20" s="392">
        <f>IF('Water-Sum'!$C33=0,"",'Water-Sum'!$C33)</f>
        <v>227.4</v>
      </c>
      <c r="M20" s="392">
        <f>IF('Water-Sum'!$C34=0,"",'Water-Sum'!$C34)</f>
        <v>330.4</v>
      </c>
      <c r="N20" s="392">
        <f>IF('Water-Sum'!$C35=0,"",'Water-Sum'!$C35)</f>
        <v>290.2</v>
      </c>
      <c r="O20" s="392">
        <f>IF('Water-Sum'!$C36=0,"",'Water-Sum'!$C36)</f>
        <v>264.39999999999998</v>
      </c>
      <c r="P20" s="392">
        <f>IF(SUM(D20:O20)=0,"",SUM(D20:O20))</f>
        <v>2158.8000000000002</v>
      </c>
      <c r="Q20" s="375" t="str">
        <f>IFERROR((R20-P20)/R20,"")</f>
        <v/>
      </c>
      <c r="R20" s="387"/>
      <c r="S20" s="387"/>
      <c r="T20" s="387"/>
      <c r="U20" s="255"/>
      <c r="V20" s="388"/>
    </row>
    <row r="21" spans="2:22" ht="18.75" thickBot="1">
      <c r="B21" s="1932"/>
      <c r="C21" s="252" t="s">
        <v>60</v>
      </c>
      <c r="D21" s="378">
        <f>IFERROR((D20*1000)/$D$7,"")</f>
        <v>0.35228621325943732</v>
      </c>
      <c r="E21" s="389">
        <f>IFERROR((E20*1000)/$E$7,"")</f>
        <v>0.65091929596470599</v>
      </c>
      <c r="F21" s="389">
        <f>IFERROR((F20*1000)/$F$7,"")</f>
        <v>0.52203915187236161</v>
      </c>
      <c r="G21" s="389">
        <f>IFERROR((G20*1000)/$G$7,"")</f>
        <v>0.55116920428607274</v>
      </c>
      <c r="H21" s="389">
        <f>IFERROR((H20*1000)/$H$7,"")</f>
        <v>0.68222536306964499</v>
      </c>
      <c r="I21" s="389">
        <f>IFERROR((I20*1000)/$I$7,"")</f>
        <v>1.0473963984624495</v>
      </c>
      <c r="J21" s="389">
        <f>IFERROR((J20*1000)/$J$7,"")</f>
        <v>0.91043281322238057</v>
      </c>
      <c r="K21" s="389">
        <f>IFERROR((K20*1000)/$K$7,"")</f>
        <v>1.2592233641670851</v>
      </c>
      <c r="L21" s="389">
        <f>IFERROR((L20*1000)/$L$7,"")</f>
        <v>1.7348856056990467</v>
      </c>
      <c r="M21" s="389">
        <f>IFERROR((M20*1000)/$M$7,"")</f>
        <v>2.0926153289773071</v>
      </c>
      <c r="N21" s="389">
        <f>IFERROR((N20*1000)/$N$7,"")</f>
        <v>1.6411456361516219</v>
      </c>
      <c r="O21" s="389">
        <f>IFERROR((O20*1000)/$O$7,"")</f>
        <v>1.6948902693568091</v>
      </c>
      <c r="P21" s="389">
        <f>IFERROR((P20*1000)/$P$7,"")</f>
        <v>1.0742684763950907</v>
      </c>
      <c r="Q21" s="390" t="str">
        <f t="shared" ref="Q21" si="1">IFERROR((R21-P21)/R21,"")</f>
        <v/>
      </c>
      <c r="R21" s="380"/>
      <c r="S21" s="380"/>
      <c r="T21" s="380"/>
      <c r="U21" s="253"/>
      <c r="V21" s="381"/>
    </row>
    <row r="22" spans="2:22" ht="18.75" thickBot="1">
      <c r="D22" s="391"/>
      <c r="E22" s="391"/>
      <c r="F22" s="391"/>
      <c r="G22" s="391"/>
      <c r="H22" s="391"/>
      <c r="I22" s="391"/>
      <c r="J22" s="391"/>
      <c r="K22" s="391"/>
      <c r="L22" s="391"/>
      <c r="M22" s="391"/>
      <c r="N22" s="391"/>
      <c r="O22" s="391"/>
      <c r="P22" s="391"/>
    </row>
    <row r="23" spans="2:22">
      <c r="B23" s="1931" t="s">
        <v>312</v>
      </c>
      <c r="C23" s="246" t="s">
        <v>199</v>
      </c>
      <c r="D23" s="369">
        <f>Energy!$E8</f>
        <v>246722.26</v>
      </c>
      <c r="E23" s="369">
        <f>Energy!$E9</f>
        <v>223549.04</v>
      </c>
      <c r="F23" s="369">
        <f>Energy!$E10</f>
        <v>258273.48</v>
      </c>
      <c r="G23" s="369">
        <f>Energy!$E11</f>
        <v>244615.84</v>
      </c>
      <c r="H23" s="369">
        <f>Energy!$E12</f>
        <v>329003</v>
      </c>
      <c r="I23" s="369">
        <f>Energy!$E13</f>
        <v>294455.52</v>
      </c>
      <c r="J23" s="369">
        <f>Energy!$E14</f>
        <v>274040.66000000003</v>
      </c>
      <c r="K23" s="369">
        <f>Energy!$E15</f>
        <v>279685.06</v>
      </c>
      <c r="L23" s="369">
        <f>Energy!$E16</f>
        <v>274144.59999999998</v>
      </c>
      <c r="M23" s="369">
        <f>Energy!$E17</f>
        <v>298340.08</v>
      </c>
      <c r="N23" s="369">
        <f>Energy!$E18</f>
        <v>284624.78000000003</v>
      </c>
      <c r="O23" s="369">
        <f>Energy!$E19</f>
        <v>225260</v>
      </c>
      <c r="P23" s="369">
        <f>IF(SUM(D23:O23)=0,"",SUM(D23:O23))</f>
        <v>3232714.3200000003</v>
      </c>
      <c r="Q23" s="370" t="str">
        <f>IFERROR((R23-P23)/R23,"")</f>
        <v/>
      </c>
      <c r="R23" s="384"/>
      <c r="S23" s="384"/>
      <c r="T23" s="384"/>
      <c r="U23" s="254"/>
      <c r="V23" s="385"/>
    </row>
    <row r="24" spans="2:22">
      <c r="B24" s="1930"/>
      <c r="C24" s="249" t="s">
        <v>126</v>
      </c>
      <c r="D24" s="386">
        <f>IFERROR(D23/$D$7,"")</f>
        <v>1.5688962220615588</v>
      </c>
      <c r="E24" s="386">
        <f>IFERROR((E23)/$E$7,"")</f>
        <v>1.3740546150178083</v>
      </c>
      <c r="F24" s="386">
        <f>IFERROR((F23)/$F$7,"")</f>
        <v>1.7175652031888324</v>
      </c>
      <c r="G24" s="386">
        <f>IFERROR((G23)/$G$7,"")</f>
        <v>1.3957010133392265</v>
      </c>
      <c r="H24" s="386">
        <f>IFERROR((H23)/$H$7,"")</f>
        <v>1.5543919053047257</v>
      </c>
      <c r="I24" s="386">
        <f>IFERROR((I23)/$I$7,"")</f>
        <v>1.5118218193891559</v>
      </c>
      <c r="J24" s="386">
        <f>IFERROR((J23)/$J$7,"")</f>
        <v>1.5622768254296677</v>
      </c>
      <c r="K24" s="386">
        <f>IFERROR((K23)/$K$7,"")</f>
        <v>1.7443584059458792</v>
      </c>
      <c r="L24" s="386">
        <f>IFERROR((L23)/$L$7,"")</f>
        <v>2.0915106438879634</v>
      </c>
      <c r="M24" s="386">
        <f>IFERROR((M23)/$M$7,"")</f>
        <v>1.8895612126401822</v>
      </c>
      <c r="N24" s="386">
        <f>IFERROR((N23)/$N$7,"")</f>
        <v>1.6096165252846848</v>
      </c>
      <c r="O24" s="386">
        <f>IFERROR((O23)/$O$7,"")</f>
        <v>1.4439900986207066</v>
      </c>
      <c r="P24" s="386">
        <f>IFERROR((P23)/$P$7,"")</f>
        <v>1.608672914196309</v>
      </c>
      <c r="Q24" s="375" t="str">
        <f t="shared" ref="Q24:Q28" si="2">IFERROR((R24-P24)/R24,"")</f>
        <v/>
      </c>
      <c r="R24" s="387"/>
      <c r="S24" s="387"/>
      <c r="T24" s="387"/>
      <c r="U24" s="255"/>
      <c r="V24" s="388"/>
    </row>
    <row r="25" spans="2:22">
      <c r="B25" s="1930" t="s">
        <v>313</v>
      </c>
      <c r="C25" s="249" t="s">
        <v>210</v>
      </c>
      <c r="D25" s="392">
        <f>IF(Energy!$F8=0,"",Energy!$F8)</f>
        <v>3337.3925373134325</v>
      </c>
      <c r="E25" s="392">
        <f>IF(Energy!$F9=0,"",Energy!$F9)</f>
        <v>3238.142537313433</v>
      </c>
      <c r="F25" s="453">
        <f>IF(Energy!$F10=0,"",Energy!$F10)</f>
        <v>3237.1798507462686</v>
      </c>
      <c r="G25" s="453">
        <f>IF(Energy!$F11=0,"",Energy!$F11)</f>
        <v>2956.0947761194029</v>
      </c>
      <c r="H25" s="453">
        <f>IF(Energy!$F12=0,"",Energy!$F12)</f>
        <v>3194.8402985074626</v>
      </c>
      <c r="I25" s="453">
        <f>IF(Energy!$F13=0,"",Energy!$F13)</f>
        <v>3391.4615671641791</v>
      </c>
      <c r="J25" s="453">
        <f>IF(Energy!$F14=0,"",Energy!$F14)</f>
        <v>3389.6369402985074</v>
      </c>
      <c r="K25" s="453">
        <f>IF(Energy!$F15=0,"",Energy!$F15)</f>
        <v>3234.9847014925372</v>
      </c>
      <c r="L25" s="453">
        <f>IF(Energy!$F16=0,"",Energy!$F16)</f>
        <v>3613.3667910447757</v>
      </c>
      <c r="M25" s="453">
        <f>IF(Energy!$F17=0,"",Energy!$F17)</f>
        <v>3570.360820895522</v>
      </c>
      <c r="N25" s="453">
        <f>IF(Energy!$F18=0,"",Energy!$F18)</f>
        <v>3400.0746268656717</v>
      </c>
      <c r="O25" s="392">
        <f>IF(Energy!$F19=0,"",Energy!$F19)</f>
        <v>3468.9552238805968</v>
      </c>
      <c r="P25" s="392">
        <f>IF(SUM(D25:O25)=0,"",SUM(D25:O25))</f>
        <v>40032.49067164179</v>
      </c>
      <c r="Q25" s="375" t="str">
        <f t="shared" si="2"/>
        <v/>
      </c>
      <c r="R25" s="387"/>
      <c r="S25" s="387"/>
      <c r="T25" s="387"/>
      <c r="U25" s="255"/>
      <c r="V25" s="388"/>
    </row>
    <row r="26" spans="2:22">
      <c r="B26" s="1930"/>
      <c r="C26" s="249" t="s">
        <v>211</v>
      </c>
      <c r="D26" s="396">
        <f>IFERROR(D25/$D$7,"")</f>
        <v>2.1222335363365607E-2</v>
      </c>
      <c r="E26" s="396">
        <f>IFERROR((E25)/$E$7,"")</f>
        <v>1.990339434014567E-2</v>
      </c>
      <c r="F26" s="463">
        <f>IFERROR((F25)/$F$7,"")</f>
        <v>2.1527829601807387E-2</v>
      </c>
      <c r="G26" s="463">
        <f>IFERROR((G25)/$G$7,"")</f>
        <v>1.6866546641283103E-2</v>
      </c>
      <c r="H26" s="463">
        <f>IFERROR((H25)/$H$7,"")</f>
        <v>1.5094190322706279E-2</v>
      </c>
      <c r="I26" s="463">
        <f>IFERROR((I25)/$I$7,"")</f>
        <v>1.7412767798880274E-2</v>
      </c>
      <c r="J26" s="463">
        <f>IFERROR((J25)/$J$7,"")</f>
        <v>1.9323961774317298E-2</v>
      </c>
      <c r="K26" s="463">
        <f>IFERROR((K25)/$K$7,"")</f>
        <v>2.0176167998229251E-2</v>
      </c>
      <c r="L26" s="463">
        <f>IFERROR((L25)/$L$7,"")</f>
        <v>2.7567185725129888E-2</v>
      </c>
      <c r="M26" s="463">
        <f>IFERROR((M25)/$M$7,"")</f>
        <v>2.2613171258432117E-2</v>
      </c>
      <c r="N26" s="463">
        <f>IFERROR((N25)/$N$7,"")</f>
        <v>1.9228179312441251E-2</v>
      </c>
      <c r="O26" s="396">
        <f>IFERROR((O25)/$O$7,"")</f>
        <v>2.2237134847918665E-2</v>
      </c>
      <c r="P26" s="396">
        <f>IFERROR((P25)/$P$7,"")</f>
        <v>1.9921087066947056E-2</v>
      </c>
      <c r="Q26" s="375" t="str">
        <f t="shared" si="2"/>
        <v/>
      </c>
      <c r="R26" s="387"/>
      <c r="S26" s="387"/>
      <c r="T26" s="387"/>
      <c r="U26" s="255"/>
      <c r="V26" s="388"/>
    </row>
    <row r="27" spans="2:22">
      <c r="B27" s="1930" t="s">
        <v>314</v>
      </c>
      <c r="C27" s="249" t="s">
        <v>315</v>
      </c>
      <c r="D27" s="453">
        <f>IF(Energy!$N27=0,"",Energy!$N27)</f>
        <v>4552.68823486567</v>
      </c>
      <c r="E27" s="392">
        <f>IF(Energy!$N28=0,"",Energy!$N28)</f>
        <v>4355.2618328656717</v>
      </c>
      <c r="F27" s="453">
        <f>IF(Energy!$N29=0,"",Energy!$N29)</f>
        <v>4523.7791745373133</v>
      </c>
      <c r="G27" s="453">
        <f>IF(Energy!$N30=0,"",Energy!$N30)</f>
        <v>4151.5227648059699</v>
      </c>
      <c r="H27" s="453">
        <f>IF(Energy!$N31=0,"",Energy!$N31)</f>
        <v>4738.9609869253727</v>
      </c>
      <c r="I27" s="453">
        <f>IF(Energy!$N32=0,"",Energy!$N32)</f>
        <v>4805.1981613582093</v>
      </c>
      <c r="J27" s="453">
        <f>IF(Energy!$N33=0,"",Energy!$N33)</f>
        <v>4765.6305720149239</v>
      </c>
      <c r="K27" s="453">
        <f>IF(Energy!$N34=0,"",Energy!$N34)</f>
        <v>4569.0087320746261</v>
      </c>
      <c r="L27" s="453">
        <f>IF(Energy!$N35=0,"",Energy!$N35)</f>
        <v>4988.2280605522374</v>
      </c>
      <c r="M27" s="453">
        <f>IF(Energy!$N36=0,"",Energy!$N36)</f>
        <v>5013.908162044776</v>
      </c>
      <c r="N27" s="453">
        <f>IF(Energy!$N37=0,"",Energy!$N37)</f>
        <v>4761.344179343283</v>
      </c>
      <c r="O27" s="392">
        <f>IF(Energy!$N38=0,"",Energy!$N38)</f>
        <v>4604.3758211940303</v>
      </c>
      <c r="P27" s="392">
        <f>IF(SUM(D27:O27)=0,"",SUM(D27:O27))</f>
        <v>55829.906682582092</v>
      </c>
      <c r="Q27" s="484"/>
      <c r="R27" s="387"/>
      <c r="S27" s="387"/>
      <c r="T27" s="387"/>
      <c r="U27" s="255"/>
      <c r="V27" s="388"/>
    </row>
    <row r="28" spans="2:22">
      <c r="B28" s="1930"/>
      <c r="C28" s="249" t="s">
        <v>316</v>
      </c>
      <c r="D28" s="463">
        <f>IFERROR(D27/$D$7,"")</f>
        <v>2.8950348346780123E-2</v>
      </c>
      <c r="E28" s="396">
        <f>IFERROR((E27)/$E$7,"")</f>
        <v>2.676982026431424E-2</v>
      </c>
      <c r="F28" s="463">
        <f>IFERROR((F27)/$F$7,"")</f>
        <v>3.0083947051379758E-2</v>
      </c>
      <c r="G28" s="463">
        <f>IFERROR((G27)/$G$7,"")</f>
        <v>2.3687282596828396E-2</v>
      </c>
      <c r="H28" s="463">
        <f>IFERROR((H27)/$H$7,"")</f>
        <v>2.2389469389737158E-2</v>
      </c>
      <c r="I28" s="463">
        <f>IFERROR((I27)/$I$7,"")</f>
        <v>2.4671310039730259E-2</v>
      </c>
      <c r="J28" s="463">
        <f>IFERROR((J27)/$J$7,"")</f>
        <v>2.7168355970307638E-2</v>
      </c>
      <c r="K28" s="463">
        <f>IFERROR((K27)/$K$7,"")</f>
        <v>2.8496297902485382E-2</v>
      </c>
      <c r="L28" s="463">
        <f>IFERROR((L27)/$L$7,"")</f>
        <v>3.8056310730853783E-2</v>
      </c>
      <c r="M28" s="463">
        <f>IFERROR((M27)/$M$7,"")</f>
        <v>3.1755995998726798E-2</v>
      </c>
      <c r="N28" s="463">
        <f>IFERROR((N27)/$N$7,"")</f>
        <v>2.6926461826826859E-2</v>
      </c>
      <c r="O28" s="396">
        <f>IFERROR((O27)/$O$7,"")</f>
        <v>2.9515551345701697E-2</v>
      </c>
      <c r="P28" s="396">
        <f>IFERROR((P27)/$P$7,"")</f>
        <v>2.7782244204732978E-2</v>
      </c>
      <c r="Q28" s="375" t="str">
        <f t="shared" si="2"/>
        <v/>
      </c>
      <c r="R28" s="387"/>
      <c r="S28" s="387"/>
      <c r="T28" s="387"/>
      <c r="U28" s="255"/>
      <c r="V28" s="388"/>
    </row>
    <row r="29" spans="2:22" ht="18.75" thickBot="1">
      <c r="B29" s="251" t="s">
        <v>317</v>
      </c>
      <c r="C29" s="252" t="s">
        <v>318</v>
      </c>
      <c r="D29" s="389">
        <f>IF(Energy!$O8=0,"",Energy!$O8)</f>
        <v>200</v>
      </c>
      <c r="E29" s="389">
        <f>IF(Energy!$O9=0,"",Energy!$O9)</f>
        <v>200</v>
      </c>
      <c r="F29" s="389">
        <f>IF(Energy!$O10=0,"",Energy!$O10)</f>
        <v>200</v>
      </c>
      <c r="G29" s="389">
        <f>IF(Energy!$O11=0,"",Energy!$O11)</f>
        <v>200</v>
      </c>
      <c r="H29" s="389">
        <f>IF(Energy!$O12=0,"",Energy!$O12)</f>
        <v>200</v>
      </c>
      <c r="I29" s="389">
        <f>IF(Energy!$O13=0,"",Energy!$O13)</f>
        <v>200</v>
      </c>
      <c r="J29" s="389">
        <f>IF(Energy!$O14=0,"",Energy!$O14)</f>
        <v>200</v>
      </c>
      <c r="K29" s="389">
        <f>IF(Energy!$O15=0,"",Energy!$O15)</f>
        <v>200</v>
      </c>
      <c r="L29" s="389">
        <f>IF(Energy!$O16=0,"",Energy!$O16)</f>
        <v>200</v>
      </c>
      <c r="M29" s="389">
        <f>IF(Energy!$O17=0,"",Energy!$O17)</f>
        <v>200</v>
      </c>
      <c r="N29" s="389">
        <f>IF(Energy!$O18=0,"",Energy!$O18)</f>
        <v>200</v>
      </c>
      <c r="O29" s="389">
        <f>IF(Energy!$O19=0,"",Energy!$O19)</f>
        <v>200</v>
      </c>
      <c r="P29" s="389">
        <f>IF(SUM(D29:O29)=0,"",SUM(D29:O29))</f>
        <v>2400</v>
      </c>
      <c r="Q29" s="379"/>
      <c r="R29" s="380"/>
      <c r="S29" s="380"/>
      <c r="T29" s="380"/>
      <c r="U29" s="253"/>
      <c r="V29" s="381"/>
    </row>
    <row r="30" spans="2:22" ht="18.75" thickBot="1">
      <c r="D30" s="391"/>
      <c r="E30" s="391"/>
      <c r="F30" s="391"/>
      <c r="G30" s="391"/>
      <c r="H30" s="391"/>
      <c r="I30" s="391"/>
      <c r="J30" s="391"/>
      <c r="K30" s="391"/>
      <c r="L30" s="391"/>
      <c r="M30" s="391"/>
      <c r="N30" s="391"/>
      <c r="O30" s="391"/>
      <c r="P30" s="391"/>
    </row>
    <row r="31" spans="2:22">
      <c r="B31" s="1931" t="s">
        <v>319</v>
      </c>
      <c r="C31" s="246" t="s">
        <v>305</v>
      </c>
      <c r="D31" s="452">
        <f>Waste!$L7</f>
        <v>35.657599999999995</v>
      </c>
      <c r="E31" s="452">
        <f>Waste!$L8</f>
        <v>31.194399999999998</v>
      </c>
      <c r="F31" s="452">
        <f>Waste!$L9</f>
        <v>34.715800000000002</v>
      </c>
      <c r="G31" s="452">
        <f>Waste!$L10</f>
        <v>46.469800000000006</v>
      </c>
      <c r="H31" s="452">
        <f>Waste!$L11</f>
        <v>40.975900000000003</v>
      </c>
      <c r="I31" s="452">
        <f>Waste!$L12</f>
        <v>55.778100000000002</v>
      </c>
      <c r="J31" s="369">
        <f>Waste!$L13</f>
        <v>44.623599999999996</v>
      </c>
      <c r="K31" s="369">
        <f>Waste!$L14</f>
        <v>54.105199999999996</v>
      </c>
      <c r="L31" s="369">
        <f>Waste!$L15</f>
        <v>51.797800000000002</v>
      </c>
      <c r="M31" s="369">
        <f>Waste!$L16</f>
        <v>58.6952</v>
      </c>
      <c r="N31" s="369">
        <f>Waste!$L17</f>
        <v>37.304449999999996</v>
      </c>
      <c r="O31" s="369">
        <f>Waste!$L18</f>
        <v>58.149800000000006</v>
      </c>
      <c r="P31" s="369">
        <f>IF(SUM(D31:O31)=0,"",SUM(D31:O31))</f>
        <v>549.46764999999994</v>
      </c>
      <c r="Q31" s="370" t="str">
        <f>IFERROR((R31-P31)/R31,"")</f>
        <v/>
      </c>
      <c r="R31" s="384"/>
      <c r="S31" s="384"/>
      <c r="T31" s="384"/>
      <c r="U31" s="254"/>
      <c r="V31" s="385"/>
    </row>
    <row r="32" spans="2:22">
      <c r="B32" s="1930"/>
      <c r="C32" s="249" t="s">
        <v>320</v>
      </c>
      <c r="D32" s="453">
        <f>IFERROR((D31*1000000)/$D$7,"")</f>
        <v>226.7451422007168</v>
      </c>
      <c r="E32" s="453">
        <f>IFERROR((E31*1000000)/$E$7,"")</f>
        <v>191.73783650652902</v>
      </c>
      <c r="F32" s="453">
        <f>IFERROR((F31*1000000)/$F$7,"")</f>
        <v>230.86632851682202</v>
      </c>
      <c r="G32" s="453">
        <f>IFERROR((G31*1000000)/$G$7,"")</f>
        <v>265.14205682539284</v>
      </c>
      <c r="H32" s="453">
        <f>IFERROR((H31*1000000)/$H$7,"")</f>
        <v>193.59278569671375</v>
      </c>
      <c r="I32" s="453">
        <f>IFERROR((I31*1000000)/$I$7,"")</f>
        <v>286.38127967195271</v>
      </c>
      <c r="J32" s="392">
        <f>IFERROR((J31*1000000)/$J$7,"")</f>
        <v>254.39442507270016</v>
      </c>
      <c r="K32" s="392">
        <f>IFERROR((K31*1000000)/$K$7,"")</f>
        <v>337.4469141304258</v>
      </c>
      <c r="L32" s="392">
        <f>IFERROR((L31*1000000)/$L$7,"")</f>
        <v>395.17703441898897</v>
      </c>
      <c r="M32" s="392">
        <f>IFERROR((M31*1000000)/$M$7,"")</f>
        <v>371.75083310347713</v>
      </c>
      <c r="N32" s="392">
        <f>IFERROR((N31*1000000)/$N$7,"")</f>
        <v>210.96497355801642</v>
      </c>
      <c r="O32" s="392">
        <f>IFERROR((O31*1000000)/$O$7,"")</f>
        <v>372.75919132013837</v>
      </c>
      <c r="P32" s="392">
        <f>IFERROR((P31*1000000)/$P$7,"")</f>
        <v>273.42772614132423</v>
      </c>
      <c r="Q32" s="375" t="str">
        <f t="shared" ref="Q32:Q39" si="3">IFERROR((R32-P32)/R32,"")</f>
        <v/>
      </c>
      <c r="R32" s="387"/>
      <c r="S32" s="387"/>
      <c r="T32" s="387"/>
      <c r="U32" s="255"/>
      <c r="V32" s="388"/>
    </row>
    <row r="33" spans="2:22">
      <c r="B33" s="1930" t="s">
        <v>321</v>
      </c>
      <c r="C33" s="249" t="s">
        <v>322</v>
      </c>
      <c r="D33" s="392">
        <f>IF(Waste!$H25=0,"",Waste!$H25)</f>
        <v>373</v>
      </c>
      <c r="E33" s="392">
        <f>IF(Waste!$H26=0,"",Waste!$H26)</f>
        <v>218</v>
      </c>
      <c r="F33" s="392">
        <f>IF(Waste!$H27=0,"",Waste!$H27)</f>
        <v>158</v>
      </c>
      <c r="G33" s="392">
        <f>IF(Waste!$H28=0,"",Waste!$H28)</f>
        <v>97</v>
      </c>
      <c r="H33" s="392">
        <f>IF(Waste!$H29=0,"",Waste!$H29)</f>
        <v>255</v>
      </c>
      <c r="I33" s="392">
        <f>IF(Waste!$H30=0,"",Waste!$H30)</f>
        <v>232</v>
      </c>
      <c r="J33" s="392">
        <f>IF(Waste!$H31=0,"",Waste!$H31)</f>
        <v>300</v>
      </c>
      <c r="K33" s="392">
        <f>IF(Waste!$H32=0,"",Waste!$H32)</f>
        <v>274</v>
      </c>
      <c r="L33" s="392">
        <f>IF(Waste!$H33=0,"",Waste!$H33)</f>
        <v>313</v>
      </c>
      <c r="M33" s="392">
        <f>IF(Waste!$H34=0,"",Waste!$H34)</f>
        <v>463</v>
      </c>
      <c r="N33" s="392">
        <f>IF(Waste!$H35=0,"",Waste!$H35)</f>
        <v>422.5</v>
      </c>
      <c r="O33" s="392">
        <f>IF(Waste!$H36=0,"",Waste!$H36)</f>
        <v>390</v>
      </c>
      <c r="P33" s="392">
        <f>IF(SUM(D33:O33)=0,"",SUM(D33:O33))</f>
        <v>3495.5</v>
      </c>
      <c r="Q33" s="375" t="str">
        <f t="shared" si="3"/>
        <v/>
      </c>
      <c r="R33" s="387"/>
      <c r="S33" s="387"/>
      <c r="T33" s="387"/>
      <c r="U33" s="255"/>
      <c r="V33" s="388"/>
    </row>
    <row r="34" spans="2:22" ht="18.75" thickBot="1">
      <c r="B34" s="1932"/>
      <c r="C34" s="252" t="s">
        <v>323</v>
      </c>
      <c r="D34" s="389">
        <f>IFERROR((D33*1000)/People!$AK$27,"")</f>
        <v>456.54834761321911</v>
      </c>
      <c r="E34" s="389">
        <f>IFERROR((E33*1000)/People!$AK$28,"")</f>
        <v>268.80394574599262</v>
      </c>
      <c r="F34" s="389">
        <f>IFERROR((F33*1000)/People!$AK$29,"")</f>
        <v>197.0074812967581</v>
      </c>
      <c r="G34" s="389">
        <f>IFERROR((G33*1000)/People!$AK$30,"")</f>
        <v>115.06524317912218</v>
      </c>
      <c r="H34" s="389">
        <f>IFERROR((H33*1000)/People!$AK$31,"")</f>
        <v>283.96436525612472</v>
      </c>
      <c r="I34" s="389">
        <f>IFERROR((I33*1000)/People!$AK$32,"")</f>
        <v>250.53995680345574</v>
      </c>
      <c r="J34" s="389">
        <f>IFERROR((J33*1000)/People!$AK$33,"")</f>
        <v>348.43205574912889</v>
      </c>
      <c r="K34" s="389">
        <f>IFERROR((K33*1000)/People!$AK$34,"")</f>
        <v>325.41567695961993</v>
      </c>
      <c r="L34" s="389">
        <f>IFERROR((L33*1000)/People!$AK$35,"")</f>
        <v>377.10843373493975</v>
      </c>
      <c r="M34" s="389">
        <f>IFERROR((M33*1000)/People!$AK$36,"")</f>
        <v>558.50422195416161</v>
      </c>
      <c r="N34" s="389">
        <f>IFERROR((N33*1000)/People!$AK$37,"")</f>
        <v>519.04176904176904</v>
      </c>
      <c r="O34" s="389">
        <f>IFERROR((O33*1000)/People!$AK$38,"")</f>
        <v>485.07462686567163</v>
      </c>
      <c r="P34" s="389">
        <f>IFERROR((P33*1000)/SUM(People!AK27:AK38),"")</f>
        <v>346.87903145777511</v>
      </c>
      <c r="Q34" s="390" t="str">
        <f t="shared" si="3"/>
        <v/>
      </c>
      <c r="R34" s="380"/>
      <c r="S34" s="380"/>
      <c r="T34" s="380"/>
      <c r="U34" s="253"/>
      <c r="V34" s="381"/>
    </row>
    <row r="35" spans="2:22" ht="18.75" thickBot="1">
      <c r="D35" s="391"/>
      <c r="E35" s="391"/>
      <c r="F35" s="391"/>
      <c r="G35" s="391"/>
      <c r="H35" s="391"/>
      <c r="I35" s="391"/>
      <c r="J35" s="391"/>
      <c r="K35" s="391"/>
      <c r="L35" s="391"/>
      <c r="M35" s="391"/>
      <c r="N35" s="391"/>
      <c r="O35" s="391"/>
      <c r="P35" s="391"/>
    </row>
    <row r="36" spans="2:22" ht="36">
      <c r="B36" s="245" t="s">
        <v>324</v>
      </c>
      <c r="C36" s="246" t="s">
        <v>305</v>
      </c>
      <c r="D36" s="369">
        <f>Product!$H$9/1000</f>
        <v>37.037914000000008</v>
      </c>
      <c r="E36" s="369">
        <f>Product!$H$10/1000</f>
        <v>27.077648999999997</v>
      </c>
      <c r="F36" s="369">
        <f>Product!$H$11/1000</f>
        <v>33.009529000000001</v>
      </c>
      <c r="G36" s="369">
        <f>Product!$H$12/1000</f>
        <v>29.471654999999998</v>
      </c>
      <c r="H36" s="369">
        <f>Product!$H$13/1000</f>
        <v>48.284779999999998</v>
      </c>
      <c r="I36" s="369">
        <f>Product!$H$14/1000</f>
        <v>27.457198000000002</v>
      </c>
      <c r="J36" s="452">
        <f>Product!$H$15/1000</f>
        <v>41.020957999999993</v>
      </c>
      <c r="K36" s="452">
        <f>Product!$H$16/1000</f>
        <v>33.468288999999956</v>
      </c>
      <c r="L36" s="452">
        <f>Product!$H$17/1000</f>
        <v>17.465745999999982</v>
      </c>
      <c r="M36" s="452">
        <f>Product!$H$18/1000</f>
        <v>28.52860699999998</v>
      </c>
      <c r="N36" s="452">
        <f>Product!$H$19/1000</f>
        <v>36.144563999999995</v>
      </c>
      <c r="O36" s="369">
        <f>IFERROR(Product!$H$20/1000," ")</f>
        <v>28.848680000000002</v>
      </c>
      <c r="P36" s="369">
        <f>IF(SUM(D36:O36)=0,"",SUM(D36:O36))</f>
        <v>387.81556899999993</v>
      </c>
      <c r="Q36" s="485"/>
      <c r="R36" s="384"/>
      <c r="S36" s="384"/>
      <c r="T36" s="384"/>
      <c r="U36" s="254"/>
      <c r="V36" s="385"/>
    </row>
    <row r="37" spans="2:22" ht="18.75" thickBot="1">
      <c r="B37" s="251" t="s">
        <v>325</v>
      </c>
      <c r="C37" s="252" t="s">
        <v>322</v>
      </c>
      <c r="D37" s="389">
        <f>Product!$Q$9</f>
        <v>28506.092999999997</v>
      </c>
      <c r="E37" s="389">
        <f>Product!$Q$10</f>
        <v>31972.6</v>
      </c>
      <c r="F37" s="389">
        <f>Product!$Q$11</f>
        <v>62153.400999999998</v>
      </c>
      <c r="G37" s="389">
        <f>Product!$Q$12</f>
        <v>32333.499</v>
      </c>
      <c r="H37" s="464">
        <f>Product!$Q$13</f>
        <v>39380.497000000003</v>
      </c>
      <c r="I37" s="389">
        <f>Product!$Q$14</f>
        <v>43460.555</v>
      </c>
      <c r="J37" s="389">
        <f>Product!$Q$15</f>
        <v>29079.5</v>
      </c>
      <c r="K37" s="389">
        <f>Product!$Q$16</f>
        <v>31663.530999999999</v>
      </c>
      <c r="L37" s="389">
        <f>Product!$Q$17</f>
        <v>37036.468999999997</v>
      </c>
      <c r="M37" s="389">
        <f>Product!$Q$18</f>
        <v>40911.779000000002</v>
      </c>
      <c r="N37" s="389">
        <f>Product!$Q$19</f>
        <v>47770.9</v>
      </c>
      <c r="O37" s="389">
        <f>Product!$Q$20</f>
        <v>33748.095000000001</v>
      </c>
      <c r="P37" s="389">
        <f>IF(SUM(D37:O37)=0,"",SUM(D37:O37))</f>
        <v>458016.91899999999</v>
      </c>
      <c r="Q37" s="390" t="str">
        <f t="shared" si="3"/>
        <v/>
      </c>
      <c r="R37" s="380"/>
      <c r="S37" s="380"/>
      <c r="T37" s="380"/>
      <c r="U37" s="253"/>
      <c r="V37" s="381"/>
    </row>
    <row r="38" spans="2:22" ht="18.75" thickBot="1">
      <c r="D38" s="391"/>
      <c r="E38" s="391"/>
      <c r="F38" s="391"/>
      <c r="G38" s="391"/>
      <c r="H38" s="391"/>
      <c r="I38" s="391"/>
      <c r="J38" s="391"/>
      <c r="K38" s="391"/>
      <c r="L38" s="391"/>
      <c r="M38" s="391"/>
      <c r="N38" s="391"/>
      <c r="O38" s="391"/>
      <c r="P38" s="391"/>
    </row>
    <row r="39" spans="2:22">
      <c r="B39" s="1931" t="s">
        <v>326</v>
      </c>
      <c r="C39" s="246" t="s">
        <v>322</v>
      </c>
      <c r="D39" s="369">
        <f>IF(Packaging!$C$7=0,"",Packaging!$C$7)</f>
        <v>1452.8447660810809</v>
      </c>
      <c r="E39" s="369">
        <f>IF(Packaging!$C$8=0,"",Packaging!$C$8)</f>
        <v>934.28930800000001</v>
      </c>
      <c r="F39" s="369">
        <f>IF(Packaging!$C$9=0,"",Packaging!$C$9)</f>
        <v>1408.3845879999999</v>
      </c>
      <c r="G39" s="369">
        <f>IF(Packaging!$C$10=0,"",Packaging!$C$10)</f>
        <v>1147.8116783783785</v>
      </c>
      <c r="H39" s="369">
        <f>IF(Packaging!$C$11=0,"",Packaging!$C$11)</f>
        <v>1693.22596</v>
      </c>
      <c r="I39" s="452">
        <f>IF(Packaging!$C$12=0,"",Packaging!$C$12)</f>
        <v>1773.1687639999998</v>
      </c>
      <c r="J39" s="369">
        <f>IF(Packaging!$C$13=0,"",Packaging!$C$13)</f>
        <v>1665.8018509999999</v>
      </c>
      <c r="K39" s="369">
        <f>IF(Packaging!$C$14=0,"",Packaging!$C$14)</f>
        <v>2007.3223783783783</v>
      </c>
      <c r="L39" s="369">
        <f>IF(Packaging!$C$15=0,"",Packaging!$C$15)</f>
        <v>1502.304719</v>
      </c>
      <c r="M39" s="369">
        <f>IF(Packaging!$C$16=0,"",Packaging!$C$16)</f>
        <v>1442.4123481081081</v>
      </c>
      <c r="N39" s="369">
        <f>IF(Packaging!$C$17=0,"",Packaging!$C$17)</f>
        <v>1741.6000939999999</v>
      </c>
      <c r="O39" s="369">
        <f>IF(Packaging!$C$18=0,"",Packaging!$C$18)</f>
        <v>1585.7891999999999</v>
      </c>
      <c r="P39" s="369">
        <f>IF(SUM(D39:O39)=0,"",SUM(D39:O39))</f>
        <v>18354.955654945945</v>
      </c>
      <c r="Q39" s="370" t="str">
        <f t="shared" si="3"/>
        <v/>
      </c>
      <c r="R39" s="384"/>
      <c r="S39" s="384"/>
      <c r="T39" s="384"/>
      <c r="U39" s="254"/>
      <c r="V39" s="385"/>
    </row>
    <row r="40" spans="2:22">
      <c r="B40" s="1930"/>
      <c r="C40" s="249" t="s">
        <v>320</v>
      </c>
      <c r="D40" s="392">
        <f>IFERROR((D39*1000)/$D$7,"")</f>
        <v>9.2385772761100551</v>
      </c>
      <c r="E40" s="392">
        <f>IFERROR((E39*1000)/$E$7,"")</f>
        <v>5.7426528667678216</v>
      </c>
      <c r="F40" s="392">
        <f>IFERROR((F39*1000)/$F$7,"")</f>
        <v>9.3660114118423614</v>
      </c>
      <c r="G40" s="392">
        <f>IFERROR((G39*1000)/$G$7,"")</f>
        <v>6.5490522716570654</v>
      </c>
      <c r="H40" s="392">
        <f>IFERROR((H39*1000)/$H$7,"")</f>
        <v>7.9997347321326044</v>
      </c>
      <c r="I40" s="453">
        <f>IFERROR((I39*1000)/$I$7,"")</f>
        <v>9.1039734180378087</v>
      </c>
      <c r="J40" s="392">
        <f>IFERROR((J39*1000)/$J$7,"")</f>
        <v>9.4965602096241621</v>
      </c>
      <c r="K40" s="392">
        <f>IFERROR((K39*1000)/$K$7,"")</f>
        <v>12.519401873548766</v>
      </c>
      <c r="L40" s="392">
        <f>IFERROR((L39*1000)/$L$7,"")</f>
        <v>11.461419667400401</v>
      </c>
      <c r="M40" s="392">
        <f>IFERROR((M39*1000)/$M$7,"")</f>
        <v>9.1356361693619217</v>
      </c>
      <c r="N40" s="392">
        <f>IFERROR((N39*1000)/$N$7,"")</f>
        <v>9.8491364375925379</v>
      </c>
      <c r="O40" s="392">
        <f>IFERROR((O39*1000)/$O$7,"")</f>
        <v>10.165426188846894</v>
      </c>
      <c r="P40" s="392">
        <f>IFERROR((P39*1000)/$P$7,"")</f>
        <v>9.1338476217056837</v>
      </c>
      <c r="Q40" s="375" t="str">
        <f>IFERROR((R40-P40)/R40,"")</f>
        <v/>
      </c>
      <c r="R40" s="387"/>
      <c r="S40" s="387"/>
      <c r="T40" s="387"/>
      <c r="U40" s="255"/>
      <c r="V40" s="388"/>
    </row>
    <row r="41" spans="2:22" ht="18.75" thickBot="1">
      <c r="B41" s="1932"/>
      <c r="C41" s="252" t="s">
        <v>300</v>
      </c>
      <c r="D41" s="393">
        <f>IF(Packaging!$J$7=0,"",Packaging!$J$7)</f>
        <v>4.4479887507110898E-2</v>
      </c>
      <c r="E41" s="393">
        <f>IF(Packaging!$J$8=0,"",Packaging!$J$8)</f>
        <v>4.7444709970304116E-2</v>
      </c>
      <c r="F41" s="393">
        <f>IF(Packaging!$J$9=0,"",Packaging!$J$9)</f>
        <v>6.1492352919593242E-2</v>
      </c>
      <c r="G41" s="393">
        <f>IF(Packaging!$J$10=0,"",Packaging!$J$10)</f>
        <v>4.7313417638885483E-2</v>
      </c>
      <c r="H41" s="393">
        <f>IF(Packaging!$J$11=0,"",Packaging!$J$11)</f>
        <v>5.8304165037555901E-2</v>
      </c>
      <c r="I41" s="454">
        <f>IF(Packaging!$J$12=0,"",Packaging!$J$12)</f>
        <v>6.1287373232119552E-2</v>
      </c>
      <c r="J41" s="393">
        <f>IF(Packaging!$J$13=0,"",Packaging!$J$13)</f>
        <v>6.2287513199979494E-2</v>
      </c>
      <c r="K41" s="393">
        <f>IF(Packaging!$J$14=0,"",Packaging!$J$14)</f>
        <v>8.2870230443096618E-2</v>
      </c>
      <c r="L41" s="393">
        <f>IF(Packaging!$J$15=0,"",Packaging!$J$15)</f>
        <v>5.4773781959636593E-2</v>
      </c>
      <c r="M41" s="393">
        <f>IF(Packaging!$J$16=0,"",Packaging!$J$16)</f>
        <v>5.0581840869769849E-2</v>
      </c>
      <c r="N41" s="393">
        <f>IF(Packaging!$J$17=0,"",Packaging!$J$17)</f>
        <v>6.8953811370576532E-2</v>
      </c>
      <c r="O41" s="393">
        <f>IF(Packaging!$J$18=0,"",Packaging!$J$18)</f>
        <v>6.2204879232104299E-2</v>
      </c>
      <c r="P41" s="393">
        <f>Packaging!J19</f>
        <v>5.8241568075964173E-2</v>
      </c>
      <c r="Q41" s="379"/>
      <c r="R41" s="380"/>
      <c r="S41" s="380"/>
      <c r="T41" s="380"/>
      <c r="U41" s="253"/>
      <c r="V41" s="381"/>
    </row>
    <row r="42" spans="2:22" ht="18.75" thickBot="1">
      <c r="D42" s="391"/>
      <c r="E42" s="391"/>
      <c r="F42" s="391"/>
      <c r="G42" s="391"/>
      <c r="H42" s="391"/>
      <c r="I42" s="391"/>
      <c r="J42" s="391"/>
      <c r="K42" s="391"/>
      <c r="L42" s="391"/>
      <c r="M42" s="391"/>
      <c r="N42" s="391"/>
      <c r="O42" s="391"/>
      <c r="P42" s="391"/>
    </row>
    <row r="43" spans="2:22">
      <c r="B43" s="245" t="s">
        <v>327</v>
      </c>
      <c r="C43" s="246" t="s">
        <v>305</v>
      </c>
      <c r="D43" s="369">
        <f>IF(SUM(Material!$I$7,Material!$S$7)=0,"",SUM(Material!$I$7,Material!$S$7))</f>
        <v>325594.54954208108</v>
      </c>
      <c r="E43" s="369">
        <f>IF(SUM(Material!$I$8,Material!$S$8)=0,"",SUM(Material!$I$8,Material!$S$8))</f>
        <v>255647.53728799999</v>
      </c>
      <c r="F43" s="369">
        <f>IF(SUM(Material!$I$9,Material!$S$9)=0,"",SUM(Material!$I$9,Material!$S$9))</f>
        <v>296192.83977999998</v>
      </c>
      <c r="G43" s="369">
        <f>IF(SUM(Material!$I$10,Material!$S$10)=0,"",SUM(Material!$I$10,Material!$S$10))</f>
        <v>300681.09539037838</v>
      </c>
      <c r="H43" s="369">
        <f>IF(SUM(Material!$I$11,Material!$S$11)=0,"",SUM(Material!$I$11,Material!$S$11))</f>
        <v>412464.34568000003</v>
      </c>
      <c r="I43" s="369">
        <f>IF(SUM(Material!$I$12,Material!$S$12)=0,"",SUM(Material!$I$12,Material!$S$12))</f>
        <v>376484.10699200002</v>
      </c>
      <c r="J43" s="369">
        <f>IF(SUM(Material!$I$13,Material!$S$13)=0,"",SUM(Material!$I$13,Material!$S$13))</f>
        <v>352397.036227</v>
      </c>
      <c r="K43" s="369">
        <f>IF(SUM(Material!$I$14,Material!$S$14)=0,"",SUM(Material!$I$14,Material!$S$14))</f>
        <v>343755.81303837837</v>
      </c>
      <c r="L43" s="369">
        <f>IF(SUM(Material!$I$15,Material!$S$15)=0,"",SUM(Material!$I$15,Material!$S$15))</f>
        <v>316250.52533899999</v>
      </c>
      <c r="M43" s="369">
        <f>IF(SUM(Material!$I$16,Material!$S$16)=0,"",SUM(Material!$I$16,Material!$S$16))</f>
        <v>320808.57674410811</v>
      </c>
      <c r="N43" s="369">
        <f>IF(SUM(Material!$I$17,Material!$S$17)=0,"",SUM(Material!$I$17,Material!$S$17))</f>
        <v>357433.39394599991</v>
      </c>
      <c r="O43" s="369">
        <f>IF(SUM(Material!$I$18,Material!$S$18)=0,"",SUM(Material!$I$18,Material!$S$18))</f>
        <v>279612.27593599999</v>
      </c>
      <c r="P43" s="369">
        <f>IF(SUM(D43:O43)=0,"",SUM(D43:O43))</f>
        <v>3937322.0959029458</v>
      </c>
      <c r="Q43" s="394"/>
      <c r="R43" s="384"/>
      <c r="S43" s="384"/>
      <c r="T43" s="384"/>
      <c r="U43" s="254"/>
      <c r="V43" s="385"/>
    </row>
    <row r="44" spans="2:22" ht="18.75" thickBot="1">
      <c r="B44" s="251" t="s">
        <v>328</v>
      </c>
      <c r="C44" s="252" t="s">
        <v>300</v>
      </c>
      <c r="D44" s="390">
        <f>Material!$F$26</f>
        <v>0.33627070249462648</v>
      </c>
      <c r="E44" s="390">
        <f>Material!$F$27</f>
        <v>0.203972346502869</v>
      </c>
      <c r="F44" s="390">
        <f>Material!$F$28</f>
        <v>0.17222356198160024</v>
      </c>
      <c r="G44" s="390">
        <f>Material!$F$29</f>
        <v>0.21979316521694867</v>
      </c>
      <c r="H44" s="390">
        <f>Material!$F$30</f>
        <v>0.12478628923230517</v>
      </c>
      <c r="I44" s="465">
        <f>Material!$F$31</f>
        <v>0.23801287425641893</v>
      </c>
      <c r="J44" s="390">
        <f>Material!$F$32</f>
        <v>0.18944159306119202</v>
      </c>
      <c r="K44" s="390">
        <f>Material!$F$33</f>
        <v>6.3568555191654594E-2</v>
      </c>
      <c r="L44" s="390">
        <f>Material!$F$34</f>
        <v>0.18124254212429855</v>
      </c>
      <c r="M44" s="390">
        <f>Material!$F$35</f>
        <v>0.32824492482457535</v>
      </c>
      <c r="N44" s="390">
        <f>Material!$F$36</f>
        <v>0.12350748518632071</v>
      </c>
      <c r="O44" s="390">
        <f>Material!$F$37</f>
        <v>0.19643918250131628</v>
      </c>
      <c r="P44" s="395"/>
      <c r="Q44" s="390">
        <f>Material!F38</f>
        <v>0.17646116161796746</v>
      </c>
      <c r="R44" s="380"/>
      <c r="S44" s="380"/>
      <c r="T44" s="380"/>
      <c r="U44" s="253"/>
      <c r="V44" s="381"/>
    </row>
    <row r="45" spans="2:22">
      <c r="D45" s="1351"/>
      <c r="E45" s="1351"/>
      <c r="F45" s="1351"/>
      <c r="G45" s="1351"/>
      <c r="H45" s="1351"/>
      <c r="J45" s="1351"/>
      <c r="K45" s="1351"/>
      <c r="L45" s="1351"/>
      <c r="M45" s="1351"/>
      <c r="N45" s="1351"/>
      <c r="O45" s="1351"/>
      <c r="P45" s="1352"/>
      <c r="Q45" s="1351"/>
    </row>
    <row r="46" spans="2:22">
      <c r="D46" s="1351"/>
      <c r="E46" s="1351"/>
      <c r="F46" s="1351"/>
      <c r="G46" s="1351"/>
      <c r="H46" s="1351"/>
      <c r="J46" s="1351"/>
      <c r="K46" s="1351"/>
      <c r="L46" s="1351"/>
      <c r="M46" s="1351"/>
      <c r="N46" s="1351"/>
      <c r="O46" s="1351"/>
      <c r="P46" s="1352"/>
      <c r="Q46" s="1351"/>
    </row>
    <row r="47" spans="2:22">
      <c r="D47" s="1351"/>
      <c r="E47" s="1351"/>
      <c r="F47" s="1351"/>
      <c r="G47" s="1351"/>
      <c r="H47" s="1351"/>
      <c r="J47" s="1351"/>
      <c r="K47" s="1351"/>
      <c r="L47" s="1351"/>
      <c r="M47" s="1351"/>
      <c r="N47" s="1351"/>
      <c r="O47" s="1351"/>
      <c r="P47" s="1352"/>
      <c r="Q47" s="1351"/>
    </row>
    <row r="50" spans="1:22" ht="18.75" thickBot="1">
      <c r="P50" s="476"/>
    </row>
    <row r="51" spans="1:22" ht="36.75" thickBot="1">
      <c r="B51" s="230" t="s">
        <v>276</v>
      </c>
      <c r="C51" s="231" t="s">
        <v>277</v>
      </c>
      <c r="D51" s="257" t="s">
        <v>278</v>
      </c>
      <c r="E51" s="257" t="s">
        <v>279</v>
      </c>
      <c r="F51" s="257" t="s">
        <v>280</v>
      </c>
      <c r="G51" s="257" t="s">
        <v>281</v>
      </c>
      <c r="H51" s="257" t="s">
        <v>132</v>
      </c>
      <c r="I51" s="257" t="s">
        <v>282</v>
      </c>
      <c r="J51" s="257" t="s">
        <v>283</v>
      </c>
      <c r="K51" s="257" t="s">
        <v>284</v>
      </c>
      <c r="L51" s="257" t="s">
        <v>285</v>
      </c>
      <c r="M51" s="257" t="s">
        <v>286</v>
      </c>
      <c r="N51" s="257" t="s">
        <v>287</v>
      </c>
      <c r="O51" s="257" t="s">
        <v>288</v>
      </c>
      <c r="P51" s="257" t="s">
        <v>289</v>
      </c>
      <c r="Q51" s="258" t="s">
        <v>38</v>
      </c>
      <c r="R51" s="259" t="s">
        <v>290</v>
      </c>
      <c r="S51" s="259" t="s">
        <v>291</v>
      </c>
      <c r="T51" s="259" t="s">
        <v>292</v>
      </c>
      <c r="U51" s="260" t="s">
        <v>293</v>
      </c>
      <c r="V51" s="256" t="s">
        <v>294</v>
      </c>
    </row>
    <row r="52" spans="1:22" ht="18.75" thickBot="1">
      <c r="A52" s="1933">
        <v>2024</v>
      </c>
      <c r="B52" s="232"/>
      <c r="C52" s="233"/>
      <c r="D52" s="234"/>
      <c r="E52" s="234"/>
      <c r="F52" s="234"/>
      <c r="G52" s="234"/>
      <c r="H52" s="234"/>
      <c r="I52" s="234"/>
      <c r="J52" s="234"/>
      <c r="K52" s="234"/>
      <c r="L52" s="234"/>
      <c r="M52" s="234"/>
      <c r="N52" s="234"/>
      <c r="O52" s="234"/>
      <c r="P52" s="234"/>
      <c r="Q52" s="235"/>
      <c r="R52" s="236"/>
      <c r="S52" s="236"/>
      <c r="T52" s="236"/>
      <c r="U52" s="237"/>
      <c r="V52" s="238"/>
    </row>
    <row r="53" spans="1:22" ht="18.75" thickBot="1">
      <c r="A53" s="1933"/>
      <c r="B53" s="239" t="s">
        <v>295</v>
      </c>
      <c r="C53" s="240" t="s">
        <v>296</v>
      </c>
      <c r="D53" s="361">
        <f>Production!$L30</f>
        <v>167055.83333333334</v>
      </c>
      <c r="E53" s="361" t="str">
        <f>Production!$L31</f>
        <v/>
      </c>
      <c r="F53" s="361" t="str">
        <f>Production!$L32</f>
        <v/>
      </c>
      <c r="G53" s="361" t="str">
        <f>Production!$L33</f>
        <v/>
      </c>
      <c r="H53" s="361" t="str">
        <f>Production!$L34</f>
        <v/>
      </c>
      <c r="I53" s="361" t="str">
        <f>Production!$L35</f>
        <v/>
      </c>
      <c r="J53" s="361" t="str">
        <f>Production!$L36</f>
        <v/>
      </c>
      <c r="K53" s="361" t="str">
        <f>Production!$L37</f>
        <v/>
      </c>
      <c r="L53" s="361" t="str">
        <f>Production!$L38</f>
        <v/>
      </c>
      <c r="M53" s="361" t="str">
        <f>Production!$L39</f>
        <v/>
      </c>
      <c r="N53" s="361" t="str">
        <f>Production!$L40</f>
        <v/>
      </c>
      <c r="O53" s="361" t="str">
        <f>Production!$L41</f>
        <v/>
      </c>
      <c r="P53" s="361">
        <f>IF(SUM(D53:O53)=0,"",SUM(D53:O53))</f>
        <v>167055.83333333334</v>
      </c>
      <c r="Q53" s="241"/>
      <c r="R53" s="242"/>
      <c r="S53" s="242"/>
      <c r="T53" s="242"/>
      <c r="U53" s="243"/>
      <c r="V53" s="244"/>
    </row>
    <row r="54" spans="1:22" ht="18.75" thickBot="1">
      <c r="B54" s="232"/>
      <c r="C54" s="233"/>
      <c r="D54" s="362"/>
      <c r="E54" s="362"/>
      <c r="F54" s="362"/>
      <c r="G54" s="362"/>
      <c r="H54" s="362"/>
      <c r="I54" s="362"/>
      <c r="J54" s="362"/>
      <c r="K54" s="362"/>
      <c r="L54" s="362"/>
      <c r="M54" s="362"/>
      <c r="N54" s="362"/>
      <c r="O54" s="362"/>
      <c r="P54" s="362"/>
      <c r="Q54" s="235" t="s">
        <v>38</v>
      </c>
      <c r="R54" s="236"/>
      <c r="S54" s="236"/>
      <c r="T54" s="236"/>
      <c r="U54" s="237"/>
      <c r="V54" s="238"/>
    </row>
    <row r="55" spans="1:22" ht="36">
      <c r="B55" s="245" t="s">
        <v>297</v>
      </c>
      <c r="C55" s="246" t="s">
        <v>298</v>
      </c>
      <c r="D55" s="363">
        <f>People!J108</f>
        <v>1</v>
      </c>
      <c r="E55" s="363" t="str">
        <f>People!J109</f>
        <v/>
      </c>
      <c r="F55" s="363" t="str">
        <f>People!J110</f>
        <v/>
      </c>
      <c r="G55" s="363" t="str">
        <f>People!J111</f>
        <v/>
      </c>
      <c r="H55" s="363" t="str">
        <f>People!J112</f>
        <v/>
      </c>
      <c r="I55" s="363" t="str">
        <f>People!J113</f>
        <v/>
      </c>
      <c r="J55" s="364" t="str">
        <f>People!J114</f>
        <v/>
      </c>
      <c r="K55" s="364" t="str">
        <f>People!J115</f>
        <v/>
      </c>
      <c r="L55" s="364" t="str">
        <f>People!J116</f>
        <v/>
      </c>
      <c r="M55" s="369" t="str">
        <f>People!J117</f>
        <v/>
      </c>
      <c r="N55" s="369" t="str">
        <f>People!J118</f>
        <v/>
      </c>
      <c r="O55" s="369" t="str">
        <f>People!J119</f>
        <v/>
      </c>
      <c r="P55" s="369">
        <f>IF(SUM(D55:O55)=0,"",SUM(D55:O55))</f>
        <v>1</v>
      </c>
      <c r="Q55" s="370" t="str">
        <f>IFERROR((R55-P55)/R55,"")</f>
        <v/>
      </c>
      <c r="R55" s="371"/>
      <c r="S55" s="371"/>
      <c r="T55" s="371"/>
      <c r="U55" s="247"/>
      <c r="V55" s="372"/>
    </row>
    <row r="56" spans="1:22">
      <c r="B56" s="248" t="s">
        <v>299</v>
      </c>
      <c r="C56" s="249" t="s">
        <v>300</v>
      </c>
      <c r="D56" s="360">
        <f>People!AL128</f>
        <v>0.21295143212951431</v>
      </c>
      <c r="E56" s="373" t="str">
        <f>People!AL129</f>
        <v/>
      </c>
      <c r="F56" s="373" t="str">
        <f>People!AL130</f>
        <v/>
      </c>
      <c r="G56" s="373" t="str">
        <f>People!AL131</f>
        <v/>
      </c>
      <c r="H56" s="373" t="str">
        <f>People!AL132</f>
        <v/>
      </c>
      <c r="I56" s="373" t="str">
        <f>People!AL133</f>
        <v/>
      </c>
      <c r="J56" s="373" t="str">
        <f>People!AL134</f>
        <v/>
      </c>
      <c r="K56" s="373" t="str">
        <f>People!AL135</f>
        <v/>
      </c>
      <c r="L56" s="373" t="str">
        <f>People!AL136</f>
        <v/>
      </c>
      <c r="M56" s="373" t="str">
        <f>People!AL137</f>
        <v/>
      </c>
      <c r="N56" s="373" t="str">
        <f>People!AL138</f>
        <v/>
      </c>
      <c r="O56" s="373" t="str">
        <f>People!AL139</f>
        <v/>
      </c>
      <c r="P56" s="374"/>
      <c r="Q56" s="375">
        <f>People!AL140</f>
        <v>0.21295143212951431</v>
      </c>
      <c r="R56" s="376"/>
      <c r="S56" s="376"/>
      <c r="T56" s="376"/>
      <c r="U56" s="250"/>
      <c r="V56" s="377"/>
    </row>
    <row r="57" spans="1:22">
      <c r="B57" s="248" t="s">
        <v>301</v>
      </c>
      <c r="C57" s="249" t="s">
        <v>300</v>
      </c>
      <c r="D57" s="1353">
        <f>People!AQ128</f>
        <v>0.1125</v>
      </c>
      <c r="E57" s="1354" t="str">
        <f>People!AQ129</f>
        <v/>
      </c>
      <c r="F57" s="1354" t="str">
        <f>People!AQ130</f>
        <v/>
      </c>
      <c r="G57" s="1354" t="str">
        <f>People!AQ131</f>
        <v/>
      </c>
      <c r="H57" s="1354" t="str">
        <f>People!AQ132</f>
        <v/>
      </c>
      <c r="I57" s="1354" t="str">
        <f>People!AQ133</f>
        <v/>
      </c>
      <c r="J57" s="373" t="str">
        <f>People!AQ134</f>
        <v/>
      </c>
      <c r="K57" s="373" t="str">
        <f>People!AQ135</f>
        <v/>
      </c>
      <c r="L57" s="373" t="str">
        <f>People!AQ136</f>
        <v/>
      </c>
      <c r="M57" s="373" t="str">
        <f>People!AQ137</f>
        <v/>
      </c>
      <c r="N57" s="373" t="str">
        <f>People!AQ138</f>
        <v/>
      </c>
      <c r="O57" s="373" t="str">
        <f>People!AQ139</f>
        <v/>
      </c>
      <c r="P57" s="374"/>
      <c r="Q57" s="375">
        <f>People!AQ140</f>
        <v>0.1125</v>
      </c>
      <c r="R57" s="376"/>
      <c r="S57" s="376"/>
      <c r="T57" s="376"/>
      <c r="U57" s="250"/>
      <c r="V57" s="377"/>
    </row>
    <row r="58" spans="1:22" ht="18.75" thickBot="1">
      <c r="B58" s="251" t="s">
        <v>302</v>
      </c>
      <c r="C58" s="252" t="s">
        <v>303</v>
      </c>
      <c r="D58" s="455">
        <f>People!T149</f>
        <v>1.1494396014943959</v>
      </c>
      <c r="E58" s="455" t="str">
        <f>People!T150</f>
        <v/>
      </c>
      <c r="F58" s="455" t="str">
        <f>People!T151</f>
        <v/>
      </c>
      <c r="G58" s="455" t="str">
        <f>People!T152</f>
        <v/>
      </c>
      <c r="H58" s="455" t="str">
        <f>People!T153</f>
        <v/>
      </c>
      <c r="I58" s="455" t="str">
        <f>People!T154</f>
        <v/>
      </c>
      <c r="J58" s="378" t="str">
        <f>People!T155</f>
        <v/>
      </c>
      <c r="K58" s="378" t="str">
        <f>People!T156</f>
        <v/>
      </c>
      <c r="L58" s="378" t="str">
        <f>People!T157</f>
        <v/>
      </c>
      <c r="M58" s="378" t="str">
        <f>People!T158</f>
        <v/>
      </c>
      <c r="N58" s="378" t="str">
        <f>People!T159</f>
        <v/>
      </c>
      <c r="O58" s="378" t="str">
        <f>People!T160</f>
        <v/>
      </c>
      <c r="P58" s="378">
        <f>IF(SUM(D58:O58)=0,"",SUM(D58:O58))</f>
        <v>1.1494396014943959</v>
      </c>
      <c r="Q58" s="379"/>
      <c r="R58" s="380"/>
      <c r="S58" s="380"/>
      <c r="T58" s="380"/>
      <c r="U58" s="253"/>
      <c r="V58" s="381"/>
    </row>
    <row r="59" spans="1:22" ht="18.75" thickBot="1">
      <c r="D59" s="382"/>
      <c r="E59" s="382"/>
      <c r="F59" s="382"/>
      <c r="G59" s="382"/>
      <c r="H59" s="382"/>
      <c r="I59" s="382"/>
      <c r="J59" s="382"/>
      <c r="K59" s="382"/>
      <c r="L59" s="382"/>
      <c r="M59" s="382"/>
      <c r="N59" s="382"/>
      <c r="O59" s="382"/>
      <c r="P59" s="382"/>
    </row>
    <row r="60" spans="1:22">
      <c r="B60" s="1931" t="s">
        <v>304</v>
      </c>
      <c r="C60" s="246" t="s">
        <v>305</v>
      </c>
      <c r="D60" s="1355">
        <f>IFERROR('GHG calculations'!$P33/1000,"")</f>
        <v>403.04638415399484</v>
      </c>
      <c r="E60" s="1355" t="str">
        <f>IFERROR('GHG calculations'!$P34/1000,"")</f>
        <v/>
      </c>
      <c r="F60" s="1355" t="str">
        <f>IFERROR('GHG calculations'!$P35/1000,"")</f>
        <v/>
      </c>
      <c r="G60" s="1355" t="str">
        <f>IFERROR('GHG calculations'!$P36/1000,"")</f>
        <v/>
      </c>
      <c r="H60" s="1355" t="str">
        <f>IFERROR('GHG calculations'!$P37/1000,"")</f>
        <v/>
      </c>
      <c r="I60" s="1355" t="str">
        <f>IFERROR('GHG calculations'!$P38/1000,"")</f>
        <v/>
      </c>
      <c r="J60" s="383" t="str">
        <f>IFERROR('GHG calculations'!$P39/1000,"")</f>
        <v/>
      </c>
      <c r="K60" s="383" t="str">
        <f>IFERROR('GHG calculations'!$P40/1000,"")</f>
        <v/>
      </c>
      <c r="L60" s="383" t="str">
        <f>IFERROR('GHG calculations'!$P41/1000,"")</f>
        <v/>
      </c>
      <c r="M60" s="383" t="str">
        <f>IFERROR('GHG calculations'!$P42/1000,"")</f>
        <v/>
      </c>
      <c r="N60" s="383" t="str">
        <f>IFERROR('GHG calculations'!$P43/1000,"")</f>
        <v/>
      </c>
      <c r="O60" s="383" t="str">
        <f>IFERROR('GHG calculations'!$P44/1000,"")</f>
        <v/>
      </c>
      <c r="P60" s="383">
        <f>IF(SUM(D60:O60)=0,"",SUM(D60:O60))</f>
        <v>403.04638415399484</v>
      </c>
      <c r="Q60" s="370" t="str">
        <f>IFERROR((R60-P60)/R60,"")</f>
        <v/>
      </c>
      <c r="R60" s="384"/>
      <c r="S60" s="384"/>
      <c r="T60" s="384"/>
      <c r="U60" s="254"/>
      <c r="V60" s="385"/>
    </row>
    <row r="61" spans="1:22">
      <c r="B61" s="1930"/>
      <c r="C61" s="249" t="s">
        <v>306</v>
      </c>
      <c r="D61" s="1356">
        <f>IFERROR((D60*1000)/$D$7,"")</f>
        <v>2.5629545928072082</v>
      </c>
      <c r="E61" s="1356" t="str">
        <f>IFERROR((E60*1000)/$E$7,"")</f>
        <v/>
      </c>
      <c r="F61" s="1356" t="str">
        <f>IFERROR((F60*1000)/$F$7,"")</f>
        <v/>
      </c>
      <c r="G61" s="1356" t="str">
        <f>IFERROR((G60*1000)/$G$7,"")</f>
        <v/>
      </c>
      <c r="H61" s="1356" t="str">
        <f>IFERROR((H60*1000)/$H$7,"")</f>
        <v/>
      </c>
      <c r="I61" s="1356" t="str">
        <f>IFERROR((I60*1000)/$I$7,"")</f>
        <v/>
      </c>
      <c r="J61" s="386" t="str">
        <f>IFERROR((J60*1000)/$J$7,"")</f>
        <v/>
      </c>
      <c r="K61" s="386" t="str">
        <f>IFERROR((K60*1000)/$K$7,"")</f>
        <v/>
      </c>
      <c r="L61" s="386" t="str">
        <f>IFERROR((L60*1000)/$L$7,"")</f>
        <v/>
      </c>
      <c r="M61" s="386" t="str">
        <f>IFERROR((M60*1000)/$M$7,"")</f>
        <v/>
      </c>
      <c r="N61" s="386" t="str">
        <f>IFERROR((N60*1000)/$N$7,"")</f>
        <v/>
      </c>
      <c r="O61" s="386" t="str">
        <f>IFERROR((O60*1000)/$O$7,"")</f>
        <v/>
      </c>
      <c r="P61" s="386">
        <f>IFERROR((P60*1000)/$P$7,"")</f>
        <v>0.20056514036578768</v>
      </c>
      <c r="Q61" s="375" t="str">
        <f>IFERROR((R61-P61)/R61,"")</f>
        <v/>
      </c>
      <c r="R61" s="387"/>
      <c r="S61" s="387"/>
      <c r="T61" s="387"/>
      <c r="U61" s="255"/>
      <c r="V61" s="388"/>
    </row>
    <row r="62" spans="1:22" ht="36.75" thickBot="1">
      <c r="B62" s="251" t="s">
        <v>307</v>
      </c>
      <c r="C62" s="252" t="s">
        <v>308</v>
      </c>
      <c r="D62" s="389">
        <f>IF(Climate!$C45=0,"",Climate!$C45)</f>
        <v>34</v>
      </c>
      <c r="E62" s="389" t="str">
        <f>IF(Climate!$C46=0,"",Climate!$C46)</f>
        <v/>
      </c>
      <c r="F62" s="389" t="str">
        <f>IF(Climate!$C47=0,"",Climate!$C47)</f>
        <v/>
      </c>
      <c r="G62" s="389" t="str">
        <f>IF(Climate!$C48=0,"",Climate!$C48)</f>
        <v/>
      </c>
      <c r="H62" s="389" t="str">
        <f>IF(Climate!$C49=0,"",Climate!$C49)</f>
        <v/>
      </c>
      <c r="I62" s="389" t="str">
        <f>IF(Climate!$C50=0,"",Climate!$C50)</f>
        <v/>
      </c>
      <c r="J62" s="389" t="str">
        <f>IF(Climate!$C51=0,"",Climate!$C51)</f>
        <v/>
      </c>
      <c r="K62" s="389" t="str">
        <f>IF(Climate!$C52=0,"",Climate!$C52)</f>
        <v/>
      </c>
      <c r="L62" s="389" t="str">
        <f>IF(Climate!$C53=0,"",Climate!$C53)</f>
        <v/>
      </c>
      <c r="M62" s="389" t="str">
        <f>IF(Climate!$C54=0,"",Climate!$C54)</f>
        <v/>
      </c>
      <c r="N62" s="389" t="str">
        <f>IF(Climate!$C55=0,"",Climate!$C55)</f>
        <v/>
      </c>
      <c r="O62" s="389" t="str">
        <f>IF(Climate!$C56=0,"",Climate!$C56)</f>
        <v/>
      </c>
      <c r="P62" s="389"/>
      <c r="Q62" s="390" t="str">
        <f>IFERROR((R62-P62)/R62,"")</f>
        <v/>
      </c>
      <c r="R62" s="380"/>
      <c r="S62" s="380"/>
      <c r="T62" s="380"/>
      <c r="U62" s="253"/>
      <c r="V62" s="381"/>
    </row>
    <row r="63" spans="1:22" ht="18.75" thickBot="1">
      <c r="D63" s="391"/>
      <c r="E63" s="391"/>
      <c r="F63" s="391"/>
      <c r="G63" s="391"/>
      <c r="H63" s="391"/>
      <c r="I63" s="391"/>
      <c r="J63" s="391"/>
      <c r="K63" s="391"/>
      <c r="L63" s="391"/>
      <c r="M63" s="391"/>
      <c r="N63" s="391"/>
      <c r="O63" s="391"/>
      <c r="P63" s="391"/>
    </row>
    <row r="64" spans="1:22">
      <c r="B64" s="1931" t="s">
        <v>309</v>
      </c>
      <c r="C64" s="246" t="s">
        <v>310</v>
      </c>
      <c r="D64" s="369">
        <f>'Water-Sum'!J66</f>
        <v>2701</v>
      </c>
      <c r="E64" s="369" t="str">
        <f>'Water-Sum'!J67</f>
        <v/>
      </c>
      <c r="F64" s="369" t="str">
        <f>'Water-Sum'!J68</f>
        <v/>
      </c>
      <c r="G64" s="369" t="str">
        <f>'Water-Sum'!J69</f>
        <v/>
      </c>
      <c r="H64" s="369" t="str">
        <f>'Water-Sum'!J70</f>
        <v/>
      </c>
      <c r="I64" s="369" t="str">
        <f>'Water-Sum'!J71</f>
        <v/>
      </c>
      <c r="J64" s="369" t="str">
        <f>'Water-Sum'!J72</f>
        <v/>
      </c>
      <c r="K64" s="369" t="str">
        <f>'Water-Sum'!J73</f>
        <v/>
      </c>
      <c r="L64" s="369" t="str">
        <f>'Water-Sum'!J74</f>
        <v/>
      </c>
      <c r="M64" s="369" t="str">
        <f>'Water-Sum'!J75</f>
        <v/>
      </c>
      <c r="N64" s="369" t="str">
        <f>'Water-Sum'!J76</f>
        <v/>
      </c>
      <c r="O64" s="369" t="str">
        <f>'Water-Sum'!J77</f>
        <v/>
      </c>
      <c r="P64" s="369">
        <f>IF(SUM(D64:O64)=0,"",SUM(D64:O64))</f>
        <v>2701</v>
      </c>
      <c r="Q64" s="370" t="str">
        <f t="shared" ref="Q64:Q65" si="4">IFERROR((R64-P64)/R64,"")</f>
        <v/>
      </c>
      <c r="R64" s="384"/>
      <c r="S64" s="384"/>
      <c r="T64" s="384"/>
      <c r="U64" s="254"/>
      <c r="V64" s="385"/>
    </row>
    <row r="65" spans="2:22">
      <c r="B65" s="1930"/>
      <c r="C65" s="249" t="s">
        <v>60</v>
      </c>
      <c r="D65" s="392">
        <f>IFERROR((D64*1000)/$D$7,"")</f>
        <v>17.175542635627082</v>
      </c>
      <c r="E65" s="392" t="str">
        <f>IFERROR((E64*1000)/$E$7,"")</f>
        <v/>
      </c>
      <c r="F65" s="392" t="str">
        <f>IFERROR((F64*1000)/$F$7,"")</f>
        <v/>
      </c>
      <c r="G65" s="392" t="str">
        <f>IFERROR((G64*1000)/$G$7,"")</f>
        <v/>
      </c>
      <c r="H65" s="392" t="str">
        <f>IFERROR((H64*1000)/$H$7,"")</f>
        <v/>
      </c>
      <c r="I65" s="392" t="str">
        <f>IFERROR((I64*1000)/$I$7,"")</f>
        <v/>
      </c>
      <c r="J65" s="392" t="str">
        <f>IFERROR((J64*1000)/$J$7,"")</f>
        <v/>
      </c>
      <c r="K65" s="392" t="str">
        <f>IFERROR((K64*1000)/$K$7,"")</f>
        <v/>
      </c>
      <c r="L65" s="392" t="str">
        <f>IFERROR((L64*1000)/$L$7,"")</f>
        <v/>
      </c>
      <c r="M65" s="392" t="str">
        <f>IFERROR((M64*1000)/$M$7,"")</f>
        <v/>
      </c>
      <c r="N65" s="392" t="str">
        <f>IFERROR((N64*1000)/$N$7,"")</f>
        <v/>
      </c>
      <c r="O65" s="392" t="str">
        <f>IFERROR((O64*1000)/$O$7,"")</f>
        <v/>
      </c>
      <c r="P65" s="392">
        <f>IFERROR((P64*1000)/$P$7,"")</f>
        <v>1.3440796529290067</v>
      </c>
      <c r="Q65" s="375" t="str">
        <f t="shared" si="4"/>
        <v/>
      </c>
      <c r="R65" s="387"/>
      <c r="S65" s="387"/>
      <c r="T65" s="387"/>
      <c r="U65" s="255"/>
      <c r="V65" s="388"/>
    </row>
    <row r="66" spans="2:22">
      <c r="B66" s="1930" t="s">
        <v>311</v>
      </c>
      <c r="C66" s="249" t="s">
        <v>310</v>
      </c>
      <c r="D66" s="392">
        <f>IF('Water-Sum'!$C66=0,"",'Water-Sum'!$C66)</f>
        <v>213.2</v>
      </c>
      <c r="E66" s="392" t="str">
        <f>IF('Water-Sum'!$C67=0,"",'Water-Sum'!$C67)</f>
        <v/>
      </c>
      <c r="F66" s="392" t="str">
        <f>IF('Water-Sum'!$C68=0,"",'Water-Sum'!$C68)</f>
        <v/>
      </c>
      <c r="G66" s="392" t="str">
        <f>IF('Water-Sum'!$C69=0,"",'Water-Sum'!$C69)</f>
        <v/>
      </c>
      <c r="H66" s="392" t="str">
        <f>IF('Water-Sum'!$C70=0,"",'Water-Sum'!$C70)</f>
        <v/>
      </c>
      <c r="I66" s="392" t="str">
        <f>IF('Water-Sum'!$C71=0,"",'Water-Sum'!$C71)</f>
        <v/>
      </c>
      <c r="J66" s="392" t="str">
        <f>IF('Water-Sum'!$C72=0,"",'Water-Sum'!$C72)</f>
        <v/>
      </c>
      <c r="K66" s="392" t="str">
        <f>IF('Water-Sum'!$C73=0,"",'Water-Sum'!$C73)</f>
        <v/>
      </c>
      <c r="L66" s="392" t="str">
        <f>IF('Water-Sum'!$C74=0,"",'Water-Sum'!$C74)</f>
        <v/>
      </c>
      <c r="M66" s="392" t="str">
        <f>IF('Water-Sum'!$C75=0,"",'Water-Sum'!$C75)</f>
        <v/>
      </c>
      <c r="N66" s="392" t="str">
        <f>IF('Water-Sum'!$C76=0,"",'Water-Sum'!$C76)</f>
        <v/>
      </c>
      <c r="O66" s="392" t="str">
        <f>IF('Water-Sum'!$C77=0,"",'Water-Sum'!$C77)</f>
        <v/>
      </c>
      <c r="P66" s="392">
        <f>IF(SUM(D66:O66)=0,"",SUM(D66:O66))</f>
        <v>213.2</v>
      </c>
      <c r="Q66" s="375" t="str">
        <f>IFERROR((R66-P66)/R66,"")</f>
        <v/>
      </c>
      <c r="R66" s="387"/>
      <c r="S66" s="387"/>
      <c r="T66" s="387"/>
      <c r="U66" s="255"/>
      <c r="V66" s="388"/>
    </row>
    <row r="67" spans="2:22" ht="18.75" thickBot="1">
      <c r="B67" s="1932"/>
      <c r="C67" s="252" t="s">
        <v>60</v>
      </c>
      <c r="D67" s="378">
        <f>IFERROR((D66*1000)/$D$7,"")</f>
        <v>1.3557296149262101</v>
      </c>
      <c r="E67" s="389" t="str">
        <f>IFERROR((E66*1000)/$E$7,"")</f>
        <v/>
      </c>
      <c r="F67" s="389" t="str">
        <f>IFERROR((F66*1000)/$F$7,"")</f>
        <v/>
      </c>
      <c r="G67" s="389" t="str">
        <f>IFERROR((G66*1000)/$G$7,"")</f>
        <v/>
      </c>
      <c r="H67" s="389" t="str">
        <f>IFERROR((H66*1000)/$H$7,"")</f>
        <v/>
      </c>
      <c r="I67" s="389" t="str">
        <f>IFERROR((I66*1000)/$I$7,"")</f>
        <v/>
      </c>
      <c r="J67" s="389" t="str">
        <f>IFERROR((J66*1000)/$J$7,"")</f>
        <v/>
      </c>
      <c r="K67" s="389" t="str">
        <f>IFERROR((K66*1000)/$K$7,"")</f>
        <v/>
      </c>
      <c r="L67" s="389" t="str">
        <f>IFERROR((L66*1000)/$L$7,"")</f>
        <v/>
      </c>
      <c r="M67" s="389" t="str">
        <f>IFERROR((M66*1000)/$M$7,"")</f>
        <v/>
      </c>
      <c r="N67" s="389" t="str">
        <f>IFERROR((N66*1000)/$N$7,"")</f>
        <v/>
      </c>
      <c r="O67" s="389" t="str">
        <f>IFERROR((O66*1000)/$O$7,"")</f>
        <v/>
      </c>
      <c r="P67" s="389">
        <f>IFERROR((P66*1000)/$P$7,"")</f>
        <v>0.10609321806903527</v>
      </c>
      <c r="Q67" s="390" t="str">
        <f t="shared" ref="Q67" si="5">IFERROR((R67-P67)/R67,"")</f>
        <v/>
      </c>
      <c r="R67" s="380"/>
      <c r="S67" s="380"/>
      <c r="T67" s="380"/>
      <c r="U67" s="253"/>
      <c r="V67" s="381"/>
    </row>
    <row r="68" spans="2:22" ht="18.75" thickBot="1">
      <c r="D68" s="391"/>
      <c r="E68" s="391"/>
      <c r="F68" s="391"/>
      <c r="G68" s="391"/>
      <c r="H68" s="391"/>
      <c r="I68" s="391"/>
      <c r="J68" s="391"/>
      <c r="K68" s="391"/>
      <c r="L68" s="391"/>
      <c r="M68" s="391"/>
      <c r="N68" s="391"/>
      <c r="O68" s="391"/>
      <c r="P68" s="391"/>
    </row>
    <row r="69" spans="2:22">
      <c r="B69" s="1931" t="s">
        <v>312</v>
      </c>
      <c r="C69" s="246" t="s">
        <v>199</v>
      </c>
      <c r="D69" s="369">
        <f>Energy!E50</f>
        <v>244355</v>
      </c>
      <c r="E69" s="369" t="str">
        <f>Energy!E51</f>
        <v/>
      </c>
      <c r="F69" s="369" t="str">
        <f>Energy!E52</f>
        <v/>
      </c>
      <c r="G69" s="369" t="str">
        <f>Energy!$E53</f>
        <v/>
      </c>
      <c r="H69" s="369" t="str">
        <f>Energy!$E54</f>
        <v/>
      </c>
      <c r="I69" s="369" t="str">
        <f>Energy!$E55</f>
        <v/>
      </c>
      <c r="J69" s="369" t="str">
        <f>Energy!$E56</f>
        <v/>
      </c>
      <c r="K69" s="369" t="str">
        <f>Energy!$E57</f>
        <v/>
      </c>
      <c r="L69" s="369" t="str">
        <f>Energy!$E58</f>
        <v/>
      </c>
      <c r="M69" s="369" t="str">
        <f>Energy!$E59</f>
        <v/>
      </c>
      <c r="N69" s="369" t="str">
        <f>Energy!$E60</f>
        <v/>
      </c>
      <c r="O69" s="369" t="str">
        <f>Energy!$E61</f>
        <v/>
      </c>
      <c r="P69" s="369">
        <f>IF(SUM(D69:O69)=0,"",SUM(D69:O69))</f>
        <v>244355</v>
      </c>
      <c r="Q69" s="370" t="str">
        <f>IFERROR((R69-P69)/R69,"")</f>
        <v/>
      </c>
      <c r="R69" s="384"/>
      <c r="S69" s="384"/>
      <c r="T69" s="384"/>
      <c r="U69" s="254"/>
      <c r="V69" s="385"/>
    </row>
    <row r="70" spans="2:22">
      <c r="B70" s="1930"/>
      <c r="C70" s="249" t="s">
        <v>126</v>
      </c>
      <c r="D70" s="386">
        <f>IFERROR(D69/$D$7,"")</f>
        <v>1.5538429177077584</v>
      </c>
      <c r="E70" s="386" t="str">
        <f>IFERROR((E69)/$E$7,"")</f>
        <v/>
      </c>
      <c r="F70" s="386" t="str">
        <f>IFERROR((F69)/$F$7,"")</f>
        <v/>
      </c>
      <c r="G70" s="386" t="str">
        <f>IFERROR((G69)/$G$7,"")</f>
        <v/>
      </c>
      <c r="H70" s="386" t="str">
        <f>IFERROR((H69)/$H$7,"")</f>
        <v/>
      </c>
      <c r="I70" s="386" t="str">
        <f>IFERROR((I69)/$I$7,"")</f>
        <v/>
      </c>
      <c r="J70" s="386" t="str">
        <f>IFERROR((J69)/$J$7,"")</f>
        <v/>
      </c>
      <c r="K70" s="386" t="str">
        <f>IFERROR((K69)/$K$7,"")</f>
        <v/>
      </c>
      <c r="L70" s="386" t="str">
        <f>IFERROR((L69)/$L$7,"")</f>
        <v/>
      </c>
      <c r="M70" s="386" t="str">
        <f>IFERROR((M69)/$M$7,"")</f>
        <v/>
      </c>
      <c r="N70" s="386" t="str">
        <f>IFERROR((N69)/$N$7,"")</f>
        <v/>
      </c>
      <c r="O70" s="386" t="str">
        <f>IFERROR((O69)/$O$7,"")</f>
        <v/>
      </c>
      <c r="P70" s="386">
        <f>IFERROR((P69)/$P$7,"")</f>
        <v>0.12159666182579321</v>
      </c>
      <c r="Q70" s="375" t="str">
        <f t="shared" ref="Q70:Q72" si="6">IFERROR((R70-P70)/R70,"")</f>
        <v/>
      </c>
      <c r="R70" s="387"/>
      <c r="S70" s="387"/>
      <c r="T70" s="387"/>
      <c r="U70" s="255"/>
      <c r="V70" s="388"/>
    </row>
    <row r="71" spans="2:22">
      <c r="B71" s="1930" t="s">
        <v>313</v>
      </c>
      <c r="C71" s="249" t="s">
        <v>210</v>
      </c>
      <c r="D71" s="1357">
        <f>IF(Energy!$F50=0,"",Energy!$F50)</f>
        <v>3442.9850746268658</v>
      </c>
      <c r="E71" s="1357" t="str">
        <f>IF(Energy!$F51=0,"",Energy!$F51)</f>
        <v/>
      </c>
      <c r="F71" s="1357" t="str">
        <f>IF(Energy!$F52=0,"",Energy!$F52)</f>
        <v/>
      </c>
      <c r="G71" s="1357" t="str">
        <f>IF(Energy!$F53=0,"",Energy!$F53)</f>
        <v/>
      </c>
      <c r="H71" s="1357" t="str">
        <f>IF(Energy!$F54=0,"",Energy!$F54)</f>
        <v/>
      </c>
      <c r="I71" s="1357" t="str">
        <f>IF(Energy!$F55=0,"",Energy!$F55)</f>
        <v/>
      </c>
      <c r="J71" s="1357" t="str">
        <f>IF(Energy!$F56=0,"",Energy!$F56)</f>
        <v/>
      </c>
      <c r="K71" s="1357" t="str">
        <f>IF(Energy!$F57=0,"",Energy!$F57)</f>
        <v/>
      </c>
      <c r="L71" s="1357" t="str">
        <f>IF(Energy!$F58=0,"",Energy!$F58)</f>
        <v/>
      </c>
      <c r="M71" s="1357" t="str">
        <f>IF(Energy!$F59=0,"",Energy!$F59)</f>
        <v/>
      </c>
      <c r="N71" s="1357" t="str">
        <f>IF(Energy!$F60=0,"",Energy!$F60)</f>
        <v/>
      </c>
      <c r="O71" s="1357" t="str">
        <f>IF(Energy!$F61=0,"",Energy!$F61)</f>
        <v/>
      </c>
      <c r="P71" s="1357">
        <f>IF(SUM(D71:O71)=0,"",SUM(D71:O71))</f>
        <v>3442.9850746268658</v>
      </c>
      <c r="Q71" s="375" t="str">
        <f t="shared" si="6"/>
        <v/>
      </c>
      <c r="R71" s="387"/>
      <c r="S71" s="387"/>
      <c r="T71" s="387"/>
      <c r="U71" s="255"/>
      <c r="V71" s="388"/>
    </row>
    <row r="72" spans="2:22">
      <c r="B72" s="1930"/>
      <c r="C72" s="249" t="s">
        <v>211</v>
      </c>
      <c r="D72" s="1358">
        <f>IFERROR(D71/$D$7,"")</f>
        <v>2.1893793759008299E-2</v>
      </c>
      <c r="E72" s="1358" t="str">
        <f>IFERROR((E71)/$E$7,"")</f>
        <v/>
      </c>
      <c r="F72" s="1358" t="str">
        <f>IFERROR((F71)/$F$7,"")</f>
        <v/>
      </c>
      <c r="G72" s="1358" t="str">
        <f>IFERROR((G71)/$G$7,"")</f>
        <v/>
      </c>
      <c r="H72" s="1358" t="str">
        <f>IFERROR((H71)/$H$7,"")</f>
        <v/>
      </c>
      <c r="I72" s="1358" t="str">
        <f>IFERROR((I71)/$I$7,"")</f>
        <v/>
      </c>
      <c r="J72" s="1358" t="str">
        <f>IFERROR((J71)/$J$7,"")</f>
        <v/>
      </c>
      <c r="K72" s="1358" t="str">
        <f>IFERROR((K71)/$K$7,"")</f>
        <v/>
      </c>
      <c r="L72" s="1358" t="str">
        <f>IFERROR((L71)/$L$7,"")</f>
        <v/>
      </c>
      <c r="M72" s="1358" t="str">
        <f>IFERROR((M71)/$M$7,"")</f>
        <v/>
      </c>
      <c r="N72" s="1358" t="str">
        <f>IFERROR((N71)/$N$7,"")</f>
        <v/>
      </c>
      <c r="O72" s="1358" t="str">
        <f>IFERROR((O71)/$O$7,"")</f>
        <v/>
      </c>
      <c r="P72" s="1358">
        <f>IFERROR((P71)/$P$7,"")</f>
        <v>1.7133084724710213E-3</v>
      </c>
      <c r="Q72" s="375" t="str">
        <f t="shared" si="6"/>
        <v/>
      </c>
      <c r="R72" s="387"/>
      <c r="S72" s="387"/>
      <c r="T72" s="387"/>
      <c r="U72" s="255"/>
      <c r="V72" s="388"/>
    </row>
    <row r="73" spans="2:22">
      <c r="B73" s="1930" t="s">
        <v>314</v>
      </c>
      <c r="C73" s="249" t="s">
        <v>315</v>
      </c>
      <c r="D73" s="1357">
        <f>IF(Energy!$N69=0,"",Energy!$N69)</f>
        <v>4618.1193977313433</v>
      </c>
      <c r="E73" s="1357" t="str">
        <f>IF(Energy!$N70=0,"",Energy!$N70)</f>
        <v/>
      </c>
      <c r="F73" s="1357" t="str">
        <f>IF(Energy!$N71=0,"",Energy!$N71)</f>
        <v/>
      </c>
      <c r="G73" s="1357" t="str">
        <f>IF(Energy!$N72=0,"",Energy!$N72)</f>
        <v/>
      </c>
      <c r="H73" s="1357" t="str">
        <f>IF(Energy!$N73=0,"",Energy!$N73)</f>
        <v/>
      </c>
      <c r="I73" s="1357" t="str">
        <f>IF(Energy!$N74=0,"",Energy!$N74)</f>
        <v/>
      </c>
      <c r="J73" s="1357" t="str">
        <f>IF(Energy!$N75=0,"",Energy!$N75)</f>
        <v/>
      </c>
      <c r="K73" s="1357" t="str">
        <f>IF(Energy!$N76=0,"",Energy!$N76)</f>
        <v/>
      </c>
      <c r="L73" s="1357" t="str">
        <f>IF(Energy!$N77=0,"",Energy!$N77)</f>
        <v/>
      </c>
      <c r="M73" s="1357" t="str">
        <f>IF(Energy!$N78=0,"",Energy!$N78)</f>
        <v/>
      </c>
      <c r="N73" s="1357" t="str">
        <f>IF(Energy!$N79=0,"",Energy!$N79)</f>
        <v/>
      </c>
      <c r="O73" s="1357" t="str">
        <f>IF(Energy!$N80=0,"",Energy!$N80)</f>
        <v/>
      </c>
      <c r="P73" s="1357">
        <f>IF(SUM(D73:O73)=0,"",SUM(D73:O73))</f>
        <v>4618.1193977313433</v>
      </c>
      <c r="Q73" s="484"/>
      <c r="R73" s="387"/>
      <c r="S73" s="387"/>
      <c r="T73" s="387"/>
      <c r="U73" s="255"/>
      <c r="V73" s="388"/>
    </row>
    <row r="74" spans="2:22">
      <c r="B74" s="1930"/>
      <c r="C74" s="249" t="s">
        <v>316</v>
      </c>
      <c r="D74" s="1358">
        <f>IFERROR(D73/$D$7,"")</f>
        <v>2.9366422292540221E-2</v>
      </c>
      <c r="E74" s="1358" t="str">
        <f>IFERROR((E73)/$E$7,"")</f>
        <v/>
      </c>
      <c r="F74" s="1358" t="str">
        <f>IFERROR((F73)/$F$7,"")</f>
        <v/>
      </c>
      <c r="G74" s="1358" t="str">
        <f>IFERROR((G73)/$G$7,"")</f>
        <v/>
      </c>
      <c r="H74" s="1358" t="str">
        <f>IFERROR((H73)/$H$7,"")</f>
        <v/>
      </c>
      <c r="I74" s="1358" t="str">
        <f>IFERROR((I73)/$I$7,"")</f>
        <v/>
      </c>
      <c r="J74" s="1358" t="str">
        <f>IFERROR((J73)/$J$7,"")</f>
        <v/>
      </c>
      <c r="K74" s="1358" t="str">
        <f>IFERROR((K73)/$K$7,"")</f>
        <v/>
      </c>
      <c r="L74" s="1358" t="str">
        <f>IFERROR((L73)/$L$7,"")</f>
        <v/>
      </c>
      <c r="M74" s="1358" t="str">
        <f>IFERROR((M73)/$M$7,"")</f>
        <v/>
      </c>
      <c r="N74" s="1358" t="str">
        <f>IFERROR((N73)/$N$7,"")</f>
        <v/>
      </c>
      <c r="O74" s="1358" t="str">
        <f>IFERROR((O73)/$O$7,"")</f>
        <v/>
      </c>
      <c r="P74" s="1358">
        <f>IFERROR((P73)/$P$7,"")</f>
        <v>2.2980823092511875E-3</v>
      </c>
      <c r="Q74" s="375" t="str">
        <f t="shared" ref="Q74" si="7">IFERROR((R74-P74)/R74,"")</f>
        <v/>
      </c>
      <c r="R74" s="387"/>
      <c r="S74" s="387"/>
      <c r="T74" s="387"/>
      <c r="U74" s="255"/>
      <c r="V74" s="388"/>
    </row>
    <row r="75" spans="2:22" ht="18.75" thickBot="1">
      <c r="B75" s="251" t="s">
        <v>317</v>
      </c>
      <c r="C75" s="252" t="s">
        <v>318</v>
      </c>
      <c r="D75" s="1359">
        <f>IF(Energy!$O50=0,"",Energy!$O50)</f>
        <v>200</v>
      </c>
      <c r="E75" s="1359">
        <f>IF(Energy!$O51=0,"",Energy!$O51)</f>
        <v>200</v>
      </c>
      <c r="F75" s="1359">
        <f>IF(Energy!$O52=0,"",Energy!$O52)</f>
        <v>200</v>
      </c>
      <c r="G75" s="1359">
        <f>IF(Energy!$O53=0,"",Energy!$O53)</f>
        <v>200</v>
      </c>
      <c r="H75" s="1359">
        <f>IF(Energy!$O54=0,"",Energy!$O54)</f>
        <v>200</v>
      </c>
      <c r="I75" s="1359">
        <f>IF(Energy!$O55=0,"",Energy!$O55)</f>
        <v>200</v>
      </c>
      <c r="J75" s="1359">
        <f>IF(Energy!$O56=0,"",Energy!$O56)</f>
        <v>200</v>
      </c>
      <c r="K75" s="1359">
        <f>IF(Energy!$O57=0,"",Energy!$O57)</f>
        <v>200</v>
      </c>
      <c r="L75" s="1359">
        <f>IF(Energy!$O58=0,"",Energy!$O58)</f>
        <v>200</v>
      </c>
      <c r="M75" s="1359">
        <f>IF(Energy!$O59=0,"",Energy!$O59)</f>
        <v>200</v>
      </c>
      <c r="N75" s="1359">
        <f>IF(Energy!$O60=0,"",Energy!$O60)</f>
        <v>200</v>
      </c>
      <c r="O75" s="1359">
        <f>IF(Energy!$O61=0,"",Energy!$O61)</f>
        <v>200</v>
      </c>
      <c r="P75" s="1359">
        <f>IF(SUM(D75:O75)=0,"",SUM(D75:O75))</f>
        <v>2400</v>
      </c>
      <c r="Q75" s="379"/>
      <c r="R75" s="380"/>
      <c r="S75" s="380"/>
      <c r="T75" s="380"/>
      <c r="U75" s="253"/>
      <c r="V75" s="381"/>
    </row>
    <row r="76" spans="2:22" ht="18.75" thickBot="1">
      <c r="D76" s="391"/>
      <c r="E76" s="391"/>
      <c r="F76" s="391"/>
      <c r="G76" s="391"/>
      <c r="H76" s="391"/>
      <c r="I76" s="391"/>
      <c r="J76" s="391"/>
      <c r="K76" s="391"/>
      <c r="L76" s="391"/>
      <c r="M76" s="391"/>
      <c r="N76" s="391"/>
      <c r="O76" s="391"/>
      <c r="P76" s="391"/>
    </row>
    <row r="77" spans="2:22">
      <c r="B77" s="1931" t="s">
        <v>319</v>
      </c>
      <c r="C77" s="246" t="s">
        <v>305</v>
      </c>
      <c r="D77" s="1360">
        <f>Waste!L67</f>
        <v>43.484300000000005</v>
      </c>
      <c r="E77" s="1360" t="str">
        <f>Waste!L68</f>
        <v/>
      </c>
      <c r="F77" s="1360" t="str">
        <f>Waste!L69</f>
        <v/>
      </c>
      <c r="G77" s="1360" t="str">
        <f>Waste!L70</f>
        <v/>
      </c>
      <c r="H77" s="1360" t="str">
        <f>Waste!L71</f>
        <v/>
      </c>
      <c r="I77" s="1360" t="str">
        <f>Waste!L72</f>
        <v/>
      </c>
      <c r="J77" s="1360" t="str">
        <f>Waste!L73</f>
        <v/>
      </c>
      <c r="K77" s="1360" t="str">
        <f>Waste!L74</f>
        <v/>
      </c>
      <c r="L77" s="1360" t="str">
        <f>Waste!L75</f>
        <v/>
      </c>
      <c r="M77" s="1360" t="str">
        <f>Waste!L76</f>
        <v/>
      </c>
      <c r="N77" s="1360" t="str">
        <f>Waste!L77</f>
        <v/>
      </c>
      <c r="O77" s="1360" t="str">
        <f>Waste!L78</f>
        <v/>
      </c>
      <c r="P77" s="1360">
        <f>IF(SUM(D77:O77)=0,"",SUM(D77:O77))</f>
        <v>43.484300000000005</v>
      </c>
      <c r="Q77" s="1361" t="str">
        <f>IFERROR((R77-P77)/R77,"")</f>
        <v/>
      </c>
      <c r="R77" s="384"/>
      <c r="S77" s="384"/>
      <c r="T77" s="384"/>
      <c r="U77" s="254"/>
      <c r="V77" s="385"/>
    </row>
    <row r="78" spans="2:22">
      <c r="B78" s="1930"/>
      <c r="C78" s="249" t="s">
        <v>320</v>
      </c>
      <c r="D78" s="1357">
        <f>IFERROR((D77*1000000)/$D$7,"")</f>
        <v>276.51479031114354</v>
      </c>
      <c r="E78" s="1357" t="str">
        <f>IFERROR((E77*1000000)/$E$7,"")</f>
        <v/>
      </c>
      <c r="F78" s="1357" t="str">
        <f>IFERROR((F77*1000000)/$F$7,"")</f>
        <v/>
      </c>
      <c r="G78" s="1357" t="str">
        <f>IFERROR((G77*1000000)/$G$7,"")</f>
        <v/>
      </c>
      <c r="H78" s="1357" t="str">
        <f>IFERROR((H77*1000000)/$H$7,"")</f>
        <v/>
      </c>
      <c r="I78" s="1357" t="str">
        <f>IFERROR((I77*1000000)/$I$7,"")</f>
        <v/>
      </c>
      <c r="J78" s="1357" t="str">
        <f>IFERROR((J77*1000000)/$J$7,"")</f>
        <v/>
      </c>
      <c r="K78" s="1357" t="str">
        <f>IFERROR((K77*1000000)/$K$7,"")</f>
        <v/>
      </c>
      <c r="L78" s="1357" t="str">
        <f>IFERROR((L77*1000000)/$L$7,"")</f>
        <v/>
      </c>
      <c r="M78" s="1357" t="str">
        <f>IFERROR((M77*1000000)/$M$7,"")</f>
        <v/>
      </c>
      <c r="N78" s="1357" t="str">
        <f>IFERROR((N77*1000000)/$N$7,"")</f>
        <v/>
      </c>
      <c r="O78" s="1357" t="str">
        <f>IFERROR((O77*1000000)/$O$7,"")</f>
        <v/>
      </c>
      <c r="P78" s="1357">
        <f>IFERROR((P77*1000000)/$P$7,"")</f>
        <v>21.638786690803709</v>
      </c>
      <c r="Q78" s="1362" t="str">
        <f t="shared" ref="Q78:Q80" si="8">IFERROR((R78-P78)/R78,"")</f>
        <v/>
      </c>
      <c r="R78" s="387"/>
      <c r="S78" s="387"/>
      <c r="T78" s="387"/>
      <c r="U78" s="255"/>
      <c r="V78" s="388"/>
    </row>
    <row r="79" spans="2:22">
      <c r="B79" s="1930" t="s">
        <v>321</v>
      </c>
      <c r="C79" s="249" t="s">
        <v>322</v>
      </c>
      <c r="D79" s="1357">
        <f>IF(Waste!$H85=0,"",Waste!$H85)</f>
        <v>467</v>
      </c>
      <c r="E79" s="1357" t="str">
        <f>IF(Waste!$H86=0,"",Waste!$H86)</f>
        <v/>
      </c>
      <c r="F79" s="1357" t="str">
        <f>IF(Waste!$H87=0,"",Waste!$H87)</f>
        <v/>
      </c>
      <c r="G79" s="1357" t="str">
        <f>IF(Waste!$H88=0,"",Waste!$H88)</f>
        <v/>
      </c>
      <c r="H79" s="1357" t="str">
        <f>IF(Waste!$H89=0,"",Waste!$H89)</f>
        <v/>
      </c>
      <c r="I79" s="1357" t="str">
        <f>IF(Waste!$H90=0,"",Waste!$H90)</f>
        <v/>
      </c>
      <c r="J79" s="1357" t="str">
        <f>IF(Waste!$H91=0,"",Waste!$H91)</f>
        <v/>
      </c>
      <c r="K79" s="1357" t="str">
        <f>IF(Waste!$H92=0,"",Waste!$H92)</f>
        <v/>
      </c>
      <c r="L79" s="1357" t="str">
        <f>IF(Waste!$H93=0,"",Waste!$H93)</f>
        <v/>
      </c>
      <c r="M79" s="1357" t="str">
        <f>IF(Waste!$H94=0,"",Waste!$H94)</f>
        <v/>
      </c>
      <c r="N79" s="1357" t="str">
        <f>IF(Waste!$H95=0,"",Waste!$H95)</f>
        <v/>
      </c>
      <c r="O79" s="1357" t="str">
        <f>IF(Waste!$H96=0,"",Waste!$H96)</f>
        <v/>
      </c>
      <c r="P79" s="1357">
        <f>IF(SUM(D79:O79)=0,"",SUM(D79:O79))</f>
        <v>467</v>
      </c>
      <c r="Q79" s="1362" t="str">
        <f t="shared" si="8"/>
        <v/>
      </c>
      <c r="R79" s="387"/>
      <c r="S79" s="387"/>
      <c r="T79" s="387"/>
      <c r="U79" s="255"/>
      <c r="V79" s="388"/>
    </row>
    <row r="80" spans="2:22" ht="18.75" thickBot="1">
      <c r="B80" s="1932"/>
      <c r="C80" s="252" t="s">
        <v>323</v>
      </c>
      <c r="D80" s="1359">
        <f>IFERROR((D79*1000)/People!$AK$27,"")</f>
        <v>571.60342717258266</v>
      </c>
      <c r="E80" s="1359" t="str">
        <f>IFERROR((E79*1000)/People!$AK$28,"")</f>
        <v/>
      </c>
      <c r="F80" s="1359" t="str">
        <f>IFERROR((F79*1000)/People!$AK$29,"")</f>
        <v/>
      </c>
      <c r="G80" s="1359" t="str">
        <f>IFERROR((G79*1000)/People!$AK$30,"")</f>
        <v/>
      </c>
      <c r="H80" s="1359" t="str">
        <f>IFERROR((H79*1000)/People!$AK$31,"")</f>
        <v/>
      </c>
      <c r="I80" s="1359" t="str">
        <f>IFERROR((I79*1000)/People!$AK$32,"")</f>
        <v/>
      </c>
      <c r="J80" s="1359" t="str">
        <f>IFERROR((J79*1000)/People!$AK$33,"")</f>
        <v/>
      </c>
      <c r="K80" s="1359" t="str">
        <f>IFERROR((K79*1000)/People!$AK$34,"")</f>
        <v/>
      </c>
      <c r="L80" s="1359" t="str">
        <f>IFERROR((L79*1000)/People!$AK$35,"")</f>
        <v/>
      </c>
      <c r="M80" s="1359" t="str">
        <f>IFERROR((M79*1000)/People!$AK$36,"")</f>
        <v/>
      </c>
      <c r="N80" s="1359" t="str">
        <f>IFERROR((N79*1000)/People!$AK$37,"")</f>
        <v/>
      </c>
      <c r="O80" s="1359" t="str">
        <f>IFERROR((O79*1000)/People!$AK$38,"")</f>
        <v/>
      </c>
      <c r="P80" s="1359" t="str">
        <f>IFERROR((P79*1000)/SUM(People!AK70:AK81),"")</f>
        <v/>
      </c>
      <c r="Q80" s="1363" t="str">
        <f t="shared" si="8"/>
        <v/>
      </c>
      <c r="R80" s="380"/>
      <c r="S80" s="380"/>
      <c r="T80" s="380"/>
      <c r="U80" s="253"/>
      <c r="V80" s="381"/>
    </row>
    <row r="81" spans="2:22" ht="18.75" thickBot="1">
      <c r="D81" s="391"/>
      <c r="E81" s="391"/>
      <c r="F81" s="391"/>
      <c r="G81" s="391"/>
      <c r="H81" s="391"/>
      <c r="I81" s="391"/>
      <c r="J81" s="391"/>
      <c r="K81" s="391"/>
      <c r="L81" s="391"/>
      <c r="M81" s="391"/>
      <c r="N81" s="391"/>
      <c r="O81" s="391"/>
      <c r="P81" s="391"/>
    </row>
    <row r="82" spans="2:22" ht="36">
      <c r="B82" s="245" t="s">
        <v>324</v>
      </c>
      <c r="C82" s="246" t="s">
        <v>305</v>
      </c>
      <c r="D82" s="1360">
        <f>IFERROR(Product!$H$33/1000, "")</f>
        <v>38.881779999999999</v>
      </c>
      <c r="E82" s="1360" t="str">
        <f>IFERROR(Product!$H$34/1000,"")</f>
        <v/>
      </c>
      <c r="F82" s="1360" t="str">
        <f>IFERROR(Product!$H$35/1000,"")</f>
        <v/>
      </c>
      <c r="G82" s="1360" t="str">
        <f>IFERROR(Product!$H$36/1000,"")</f>
        <v/>
      </c>
      <c r="H82" s="1360" t="str">
        <f>IFERROR(Product!$H$37/1000,"")</f>
        <v/>
      </c>
      <c r="I82" s="1360" t="str">
        <f>IFERROR(Product!$H$38/1000," ")</f>
        <v xml:space="preserve"> </v>
      </c>
      <c r="J82" s="1360" t="str">
        <f>IFERROR(Product!$H$39/1000,"")</f>
        <v/>
      </c>
      <c r="K82" s="1360" t="str">
        <f>IFERROR(Product!$H$40/1000,"")</f>
        <v/>
      </c>
      <c r="L82" s="1360" t="str">
        <f>IFERROR(Product!$H$41/1000,"")</f>
        <v/>
      </c>
      <c r="M82" s="1360" t="str">
        <f>IFERROR(Product!$H$42/1000,"")</f>
        <v/>
      </c>
      <c r="N82" s="1360" t="str">
        <f>IFERROR(Product!$H$43/1000,"")</f>
        <v/>
      </c>
      <c r="O82" s="369" t="str">
        <f>IFERROR(Product!$H$44/1000,"")</f>
        <v/>
      </c>
      <c r="P82" s="369">
        <f>IF(SUM(D82:O82)=0,"",SUM(D82:O82))</f>
        <v>38.881779999999999</v>
      </c>
      <c r="Q82" s="485"/>
      <c r="R82" s="384"/>
      <c r="S82" s="384"/>
      <c r="T82" s="384"/>
      <c r="U82" s="254"/>
      <c r="V82" s="385"/>
    </row>
    <row r="83" spans="2:22" ht="18.75" thickBot="1">
      <c r="B83" s="251" t="s">
        <v>325</v>
      </c>
      <c r="C83" s="252" t="s">
        <v>322</v>
      </c>
      <c r="D83" s="1359">
        <f>Product!$Q$33</f>
        <v>36266.01</v>
      </c>
      <c r="E83" s="1359" t="str">
        <f>Product!$Q$34</f>
        <v/>
      </c>
      <c r="F83" s="1359" t="str">
        <f>Product!$Q$35</f>
        <v/>
      </c>
      <c r="G83" s="1359" t="str">
        <f>Product!$Q$36</f>
        <v/>
      </c>
      <c r="H83" s="1359" t="str">
        <f>Product!$Q$37</f>
        <v/>
      </c>
      <c r="I83" s="1359" t="str">
        <f>Product!$Q$38</f>
        <v/>
      </c>
      <c r="J83" s="1359" t="str">
        <f>Product!$Q$39</f>
        <v/>
      </c>
      <c r="K83" s="1359" t="str">
        <f>Product!$Q$40</f>
        <v/>
      </c>
      <c r="L83" s="1359" t="str">
        <f>Product!$Q$41</f>
        <v/>
      </c>
      <c r="M83" s="1359" t="str">
        <f>Product!$Q$42</f>
        <v/>
      </c>
      <c r="N83" s="1359" t="str">
        <f>Product!$Q$43</f>
        <v/>
      </c>
      <c r="O83" s="389" t="str">
        <f>Product!$Q$44</f>
        <v/>
      </c>
      <c r="P83" s="389">
        <f>IF(SUM(D83:O83)=0,"",SUM(D83:O83))</f>
        <v>36266.01</v>
      </c>
      <c r="Q83" s="390" t="str">
        <f t="shared" ref="Q83" si="9">IFERROR((R83-P83)/R83,"")</f>
        <v/>
      </c>
      <c r="R83" s="380"/>
      <c r="S83" s="380"/>
      <c r="T83" s="380"/>
      <c r="U83" s="253"/>
      <c r="V83" s="381"/>
    </row>
    <row r="84" spans="2:22" ht="18.75" thickBot="1">
      <c r="D84" s="391"/>
      <c r="E84" s="391"/>
      <c r="F84" s="391"/>
      <c r="G84" s="391"/>
      <c r="H84" s="391"/>
      <c r="I84" s="391"/>
      <c r="J84" s="391"/>
      <c r="K84" s="391"/>
      <c r="L84" s="391"/>
      <c r="M84" s="391"/>
      <c r="N84" s="391"/>
      <c r="O84" s="391"/>
      <c r="P84" s="391"/>
    </row>
    <row r="85" spans="2:22">
      <c r="B85" s="1931" t="s">
        <v>326</v>
      </c>
      <c r="C85" s="246" t="s">
        <v>322</v>
      </c>
      <c r="D85" s="1360" t="str">
        <f>IF(Packaging!$C$29=0,"",Packaging!$C$29)</f>
        <v/>
      </c>
      <c r="E85" s="1360" t="str">
        <f>IF(Packaging!$C$30=0,"",Packaging!$C$30)</f>
        <v/>
      </c>
      <c r="F85" s="1360" t="str">
        <f>IF(Packaging!$C$31=0,"",Packaging!$C$31)</f>
        <v/>
      </c>
      <c r="G85" s="1360" t="str">
        <f>IF(Packaging!$C$32=0,"",Packaging!$C$32)</f>
        <v/>
      </c>
      <c r="H85" s="1360" t="e">
        <f>IF(Packaging!#REF!=0,"",Packaging!#REF!)</f>
        <v>#REF!</v>
      </c>
      <c r="I85" s="1360" t="e">
        <f>IF(Packaging!#REF!=0,"",Packaging!#REF!)</f>
        <v>#REF!</v>
      </c>
      <c r="J85" s="1360" t="e">
        <f>IF(Packaging!#REF!=0,"",Packaging!#REF!)</f>
        <v>#REF!</v>
      </c>
      <c r="K85" s="1360" t="e">
        <f>IF(Packaging!#REF!=0,"",Packaging!#REF!)</f>
        <v>#REF!</v>
      </c>
      <c r="L85" s="1360" t="e">
        <f>IF(Packaging!#REF!=0,"",Packaging!#REF!)</f>
        <v>#REF!</v>
      </c>
      <c r="M85" s="1360" t="e">
        <f>IF(Packaging!#REF!=0,"",Packaging!#REF!)</f>
        <v>#REF!</v>
      </c>
      <c r="N85" s="1360" t="e">
        <f>IF(Packaging!#REF!=0,"",Packaging!#REF!)</f>
        <v>#REF!</v>
      </c>
      <c r="O85" s="1360" t="e">
        <f>IF(Packaging!#REF!=0,"",Packaging!#REF!)</f>
        <v>#REF!</v>
      </c>
      <c r="P85" s="1360" t="e">
        <f>IF(SUM(D85:O85)=0,"",SUM(D85:O85))</f>
        <v>#REF!</v>
      </c>
      <c r="Q85" s="370" t="str">
        <f t="shared" ref="Q85" si="10">IFERROR((R85-P85)/R85,"")</f>
        <v/>
      </c>
      <c r="R85" s="384"/>
      <c r="S85" s="384"/>
      <c r="T85" s="384"/>
      <c r="U85" s="254"/>
      <c r="V85" s="385"/>
    </row>
    <row r="86" spans="2:22">
      <c r="B86" s="1930"/>
      <c r="C86" s="249" t="s">
        <v>320</v>
      </c>
      <c r="D86" s="1357" t="str">
        <f>IFERROR((D85*1000)/$D$7,"")</f>
        <v/>
      </c>
      <c r="E86" s="1357" t="str">
        <f>IFERROR((E85*1000)/$E$7,"")</f>
        <v/>
      </c>
      <c r="F86" s="1357" t="str">
        <f>IFERROR((F85*1000)/$F$7,"")</f>
        <v/>
      </c>
      <c r="G86" s="1357" t="str">
        <f>IFERROR((G85*1000)/$G$7,"")</f>
        <v/>
      </c>
      <c r="H86" s="1357" t="str">
        <f>IFERROR((H85*1000)/$H$7,"")</f>
        <v/>
      </c>
      <c r="I86" s="1357" t="str">
        <f>IFERROR((I85*1000)/$I$7,"")</f>
        <v/>
      </c>
      <c r="J86" s="1357" t="str">
        <f>IFERROR((J85*1000)/$J$7,"")</f>
        <v/>
      </c>
      <c r="K86" s="1357" t="str">
        <f>IFERROR((K85*1000)/$K$7,"")</f>
        <v/>
      </c>
      <c r="L86" s="1357" t="str">
        <f>IFERROR((L85*1000)/$L$7,"")</f>
        <v/>
      </c>
      <c r="M86" s="1357" t="str">
        <f>IFERROR((M85*1000)/$M$7,"")</f>
        <v/>
      </c>
      <c r="N86" s="1357" t="str">
        <f>IFERROR((N85*1000)/$N$7,"")</f>
        <v/>
      </c>
      <c r="O86" s="1357" t="str">
        <f>IFERROR((O85*1000)/$O$7,"")</f>
        <v/>
      </c>
      <c r="P86" s="1357" t="str">
        <f>IFERROR((P85*1000)/$P$7,"")</f>
        <v/>
      </c>
      <c r="Q86" s="375" t="str">
        <f>IFERROR((R86-P86)/R86,"")</f>
        <v/>
      </c>
      <c r="R86" s="387"/>
      <c r="S86" s="387"/>
      <c r="T86" s="387"/>
      <c r="U86" s="255"/>
      <c r="V86" s="388"/>
    </row>
    <row r="87" spans="2:22" ht="18.75" thickBot="1">
      <c r="B87" s="1932"/>
      <c r="C87" s="252" t="s">
        <v>300</v>
      </c>
      <c r="D87" s="1364" t="str">
        <f>IF(Packaging!$J$29=0,"",Packaging!$J$29)</f>
        <v/>
      </c>
      <c r="E87" s="1364" t="str">
        <f>IF(Packaging!$J$30=0,"",Packaging!$J$30)</f>
        <v/>
      </c>
      <c r="F87" s="1364" t="str">
        <f>IF(Packaging!$J$31=0,"",Packaging!$J$31)</f>
        <v/>
      </c>
      <c r="G87" s="1364" t="str">
        <f>IF(Packaging!$J$32=0,"",Packaging!$J$32)</f>
        <v/>
      </c>
      <c r="H87" s="1364" t="e">
        <f>IF(Packaging!#REF!=0,"",Packaging!#REF!)</f>
        <v>#REF!</v>
      </c>
      <c r="I87" s="1364" t="e">
        <f>IF(Packaging!#REF!=0,"",Packaging!#REF!)</f>
        <v>#REF!</v>
      </c>
      <c r="J87" s="1364" t="e">
        <f>IF(Packaging!#REF!=0,"",Packaging!#REF!)</f>
        <v>#REF!</v>
      </c>
      <c r="K87" s="1364" t="e">
        <f>IF(Packaging!#REF!=0,"",Packaging!#REF!)</f>
        <v>#REF!</v>
      </c>
      <c r="L87" s="1364" t="e">
        <f>IF(Packaging!#REF!=0,"",Packaging!#REF!)</f>
        <v>#REF!</v>
      </c>
      <c r="M87" s="1364" t="e">
        <f>IF(Packaging!#REF!=0,"",Packaging!#REF!)</f>
        <v>#REF!</v>
      </c>
      <c r="N87" s="1364" t="e">
        <f>IF(Packaging!#REF!=0,"",Packaging!#REF!)</f>
        <v>#REF!</v>
      </c>
      <c r="O87" s="1364" t="e">
        <f>IF(Packaging!#REF!=0,"",Packaging!#REF!)</f>
        <v>#REF!</v>
      </c>
      <c r="P87" s="1364">
        <f>Packaging!J51</f>
        <v>0</v>
      </c>
      <c r="Q87" s="379"/>
      <c r="R87" s="380"/>
      <c r="S87" s="380"/>
      <c r="T87" s="380"/>
      <c r="U87" s="253"/>
      <c r="V87" s="381"/>
    </row>
    <row r="88" spans="2:22" ht="18.75" thickBot="1">
      <c r="D88" s="391"/>
      <c r="E88" s="391"/>
      <c r="F88" s="391"/>
      <c r="G88" s="391"/>
      <c r="H88" s="391"/>
      <c r="I88" s="391"/>
      <c r="J88" s="391"/>
      <c r="K88" s="391"/>
      <c r="L88" s="391"/>
      <c r="M88" s="391"/>
      <c r="N88" s="391"/>
      <c r="O88" s="391"/>
      <c r="P88" s="391"/>
    </row>
    <row r="89" spans="2:22">
      <c r="B89" s="245" t="s">
        <v>327</v>
      </c>
      <c r="C89" s="246" t="s">
        <v>305</v>
      </c>
      <c r="D89" s="1360">
        <f>IF(SUM(Material!$I$49,Material!$S$49)=0,"",SUM(Material!$I$49,Material!$S$49))</f>
        <v>315460.88749999995</v>
      </c>
      <c r="E89" s="1360" t="str">
        <f>IF(SUM(Material!$I$50,Material!$S$50)=0,"",SUM(Material!$I$50,Material!$S$50))</f>
        <v/>
      </c>
      <c r="F89" s="1360" t="str">
        <f>IF(SUM(Material!$I$51,Material!$S$51)=0,"",SUM(Material!$I$51,Material!$S$51))</f>
        <v/>
      </c>
      <c r="G89" s="1360" t="str">
        <f>IF(SUM(Material!$I$52,Material!$S$52)=0,"",SUM(Material!$I$52,Material!$S$52))</f>
        <v/>
      </c>
      <c r="H89" s="1360" t="e">
        <f>IF(SUM(Material!$I$53,Material!$S$53)=0,"",SUM(Material!$I$53,Material!$S$53))</f>
        <v>#REF!</v>
      </c>
      <c r="I89" s="1360" t="e">
        <f>IF(SUM(Material!$I$54,Material!$S$54)=0,"",SUM(Material!$I$54,Material!$S$54))</f>
        <v>#REF!</v>
      </c>
      <c r="J89" s="1360" t="e">
        <f>IF(SUM(Material!$I$55,Material!$S$55)=0,"",SUM(Material!$I$55,Material!$S$55))</f>
        <v>#REF!</v>
      </c>
      <c r="K89" s="1360" t="e">
        <f>IF(SUM(Material!$I$56,Material!$S$56)=0,"",SUM(Material!$I$56,Material!$S$56))</f>
        <v>#REF!</v>
      </c>
      <c r="L89" s="1360" t="e">
        <f>IF(SUM(Material!$I$57,Material!$S$57)=0,"",SUM(Material!$I$57,Material!$S$57))</f>
        <v>#REF!</v>
      </c>
      <c r="M89" s="1360" t="e">
        <f>IF(SUM(Material!$I$58,Material!$S$58)=0,"",SUM(Material!$I$58,Material!$S$58))</f>
        <v>#REF!</v>
      </c>
      <c r="N89" s="1360" t="e">
        <f>IF(SUM(Material!$I$59,Material!$S$59)=0,"",SUM(Material!$I$59,Material!$S$59))</f>
        <v>#REF!</v>
      </c>
      <c r="O89" s="369" t="e">
        <f>IF(SUM(Material!$I$60,Material!$S$60)=0,"",SUM(Material!$I$60,Material!$S$60))</f>
        <v>#REF!</v>
      </c>
      <c r="P89" s="369" t="e">
        <f>IF(SUM(D89:O89)=0,"",SUM(D89:O89))</f>
        <v>#REF!</v>
      </c>
      <c r="Q89" s="394"/>
      <c r="R89" s="384"/>
      <c r="S89" s="384"/>
      <c r="T89" s="384"/>
      <c r="U89" s="254"/>
      <c r="V89" s="385"/>
    </row>
    <row r="90" spans="2:22" ht="18.75" thickBot="1">
      <c r="B90" s="251" t="s">
        <v>328</v>
      </c>
      <c r="C90" s="252" t="s">
        <v>300</v>
      </c>
      <c r="D90" s="1363">
        <f>Material!F68</f>
        <v>0.30280511804246307</v>
      </c>
      <c r="E90" s="1363" t="str">
        <f>Material!F69</f>
        <v/>
      </c>
      <c r="F90" s="1363" t="str">
        <f>Material!F70</f>
        <v/>
      </c>
      <c r="G90" s="1363" t="str">
        <f>Material!F71</f>
        <v/>
      </c>
      <c r="H90" s="1363" t="str">
        <f>Material!F72</f>
        <v/>
      </c>
      <c r="I90" s="1363" t="str">
        <f>Material!F73</f>
        <v/>
      </c>
      <c r="J90" s="1363" t="str">
        <f>Material!F74</f>
        <v/>
      </c>
      <c r="K90" s="1363" t="str">
        <f>Material!F75</f>
        <v/>
      </c>
      <c r="L90" s="1363" t="str">
        <f>Material!F76</f>
        <v/>
      </c>
      <c r="M90" s="1363" t="str">
        <f>Material!F77</f>
        <v/>
      </c>
      <c r="N90" s="1363" t="str">
        <f>Material!F78</f>
        <v/>
      </c>
      <c r="O90" s="390" t="str">
        <f>Material!F79</f>
        <v/>
      </c>
      <c r="P90" s="395"/>
      <c r="Q90" s="390">
        <f>Material!F81</f>
        <v>0</v>
      </c>
      <c r="R90" s="380"/>
      <c r="S90" s="380"/>
      <c r="T90" s="380"/>
      <c r="U90" s="253"/>
      <c r="V90" s="381"/>
    </row>
  </sheetData>
  <mergeCells count="20">
    <mergeCell ref="A6:A7"/>
    <mergeCell ref="B60:B61"/>
    <mergeCell ref="B64:B65"/>
    <mergeCell ref="B66:B67"/>
    <mergeCell ref="B69:B70"/>
    <mergeCell ref="A52:A53"/>
    <mergeCell ref="B39:B41"/>
    <mergeCell ref="B14:B15"/>
    <mergeCell ref="B18:B19"/>
    <mergeCell ref="B20:B21"/>
    <mergeCell ref="B23:B24"/>
    <mergeCell ref="B27:B28"/>
    <mergeCell ref="B25:B26"/>
    <mergeCell ref="B31:B32"/>
    <mergeCell ref="B33:B34"/>
    <mergeCell ref="B71:B72"/>
    <mergeCell ref="B73:B74"/>
    <mergeCell ref="B77:B78"/>
    <mergeCell ref="B79:B80"/>
    <mergeCell ref="B85:B87"/>
  </mergeCells>
  <pageMargins left="0.7" right="0.7" top="0.75" bottom="0.75" header="0.3" footer="0.3"/>
  <ignoredErrors>
    <ignoredError sqref="D20:O20 D25:O25 D27:P27 P19:P20 P24:P26 P28 P32" formula="1"/>
  </ignoredErrors>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D705E-37E6-435A-B520-C9BD2E3024DD}">
  <dimension ref="A1:M44"/>
  <sheetViews>
    <sheetView showGridLines="0" workbookViewId="0">
      <pane xSplit="1" ySplit="3" topLeftCell="C8" activePane="bottomRight" state="frozen"/>
      <selection pane="topRight" activeCell="E36" sqref="E36"/>
      <selection pane="bottomLeft" activeCell="E36" sqref="E36"/>
      <selection pane="bottomRight"/>
    </sheetView>
  </sheetViews>
  <sheetFormatPr defaultRowHeight="15"/>
  <cols>
    <col min="1" max="1" width="34.7109375" customWidth="1"/>
    <col min="2" max="2" width="10.140625" bestFit="1" customWidth="1"/>
    <col min="3" max="4" width="13.85546875" bestFit="1" customWidth="1"/>
    <col min="7" max="7" width="11.85546875" bestFit="1" customWidth="1"/>
    <col min="8" max="8" width="13.140625" bestFit="1" customWidth="1"/>
    <col min="9" max="9" width="19.85546875" bestFit="1" customWidth="1"/>
    <col min="10" max="10" width="12.85546875" bestFit="1" customWidth="1"/>
    <col min="12" max="12" width="16.7109375" bestFit="1" customWidth="1"/>
  </cols>
  <sheetData>
    <row r="1" spans="1:13" ht="26.25" customHeight="1">
      <c r="A1" s="486"/>
    </row>
    <row r="2" spans="1:13" ht="26.25" customHeight="1"/>
    <row r="3" spans="1:13" ht="26.25" customHeight="1"/>
    <row r="4" spans="1:13" ht="26.25" customHeight="1" thickBot="1">
      <c r="A4" s="1933">
        <v>2023</v>
      </c>
      <c r="B4" s="41"/>
      <c r="C4" s="41"/>
      <c r="D4" s="41"/>
      <c r="E4" s="41"/>
      <c r="F4" s="41"/>
      <c r="G4" s="41"/>
      <c r="H4" s="41"/>
      <c r="I4" s="41"/>
      <c r="J4" s="41"/>
      <c r="K4" s="41"/>
      <c r="L4" s="41"/>
      <c r="M4" s="41"/>
    </row>
    <row r="5" spans="1:13" ht="21.75" thickBot="1">
      <c r="A5" s="1933"/>
      <c r="B5" s="1934" t="s">
        <v>329</v>
      </c>
      <c r="C5" s="1935"/>
      <c r="D5" s="1936"/>
      <c r="E5" s="41"/>
      <c r="F5" s="41"/>
      <c r="G5" s="1934" t="s">
        <v>330</v>
      </c>
      <c r="H5" s="1935"/>
      <c r="I5" s="1935"/>
      <c r="J5" s="1936"/>
      <c r="K5" s="41"/>
      <c r="L5" s="41"/>
      <c r="M5" s="41"/>
    </row>
    <row r="6" spans="1:13" ht="18.75" thickBot="1">
      <c r="B6" s="63">
        <v>2023</v>
      </c>
      <c r="C6" s="63" t="s">
        <v>295</v>
      </c>
      <c r="D6" s="63" t="s">
        <v>331</v>
      </c>
      <c r="E6" s="41"/>
      <c r="F6" s="41"/>
      <c r="G6" s="63">
        <v>2023</v>
      </c>
      <c r="H6" s="63" t="s">
        <v>295</v>
      </c>
      <c r="I6" s="63" t="s">
        <v>332</v>
      </c>
      <c r="J6" s="63" t="s">
        <v>331</v>
      </c>
      <c r="K6" s="41"/>
      <c r="L6" s="63" t="s">
        <v>332</v>
      </c>
      <c r="M6" s="41"/>
    </row>
    <row r="7" spans="1:13" ht="18.75" thickBot="1">
      <c r="B7" s="63" t="s">
        <v>121</v>
      </c>
      <c r="C7" s="63" t="s">
        <v>296</v>
      </c>
      <c r="D7" s="67" t="s">
        <v>322</v>
      </c>
      <c r="E7" s="41"/>
      <c r="F7" s="41"/>
      <c r="G7" s="63" t="s">
        <v>121</v>
      </c>
      <c r="H7" s="63" t="s">
        <v>333</v>
      </c>
      <c r="I7" s="67" t="s">
        <v>296</v>
      </c>
      <c r="J7" s="67" t="s">
        <v>322</v>
      </c>
      <c r="K7" s="41"/>
      <c r="L7" s="63" t="s">
        <v>296</v>
      </c>
      <c r="M7" s="41"/>
    </row>
    <row r="8" spans="1:13" ht="18">
      <c r="B8" s="108" t="s">
        <v>278</v>
      </c>
      <c r="C8" s="353">
        <f>'Production-Ciospi'!Y5</f>
        <v>157258.49583333332</v>
      </c>
      <c r="D8" s="354">
        <f>'Production-Ciospi'!AA5</f>
        <v>201241.79641887313</v>
      </c>
      <c r="E8" s="116"/>
      <c r="F8" s="116"/>
      <c r="G8" s="117" t="s">
        <v>278</v>
      </c>
      <c r="H8" s="353"/>
      <c r="I8" s="357" t="str">
        <f>IFERROR(J8/0.6,"")</f>
        <v/>
      </c>
      <c r="J8" s="357" t="str">
        <f>IF(H8*0.35=0,"",H8*0.35)</f>
        <v/>
      </c>
      <c r="K8" s="116"/>
      <c r="L8" s="124">
        <f>IF(SUM(I8,C8)=0,"",SUM(I8,C8))</f>
        <v>157258.49583333332</v>
      </c>
      <c r="M8" s="41"/>
    </row>
    <row r="9" spans="1:13" ht="18">
      <c r="B9" s="10" t="s">
        <v>279</v>
      </c>
      <c r="C9" s="353">
        <f>'Production-Ciospi'!Y6</f>
        <v>162692.98000000001</v>
      </c>
      <c r="D9" s="355">
        <f>'Production-Ciospi'!AA6</f>
        <v>181220.46475954639</v>
      </c>
      <c r="E9" s="116"/>
      <c r="F9" s="116"/>
      <c r="G9" s="118" t="s">
        <v>279</v>
      </c>
      <c r="H9" s="355"/>
      <c r="I9" s="358" t="str">
        <f t="shared" ref="I9:I19" si="0">IFERROR(J9/0.6,"")</f>
        <v/>
      </c>
      <c r="J9" s="358" t="str">
        <f t="shared" ref="J9:J19" si="1">IF(H9*0.35=0,"",H9*0.35)</f>
        <v/>
      </c>
      <c r="K9" s="116"/>
      <c r="L9" s="122">
        <f t="shared" ref="L9:L19" si="2">IF(SUM(I9,C9)=0,"",SUM(I9,C9))</f>
        <v>162692.98000000001</v>
      </c>
      <c r="M9" s="41"/>
    </row>
    <row r="10" spans="1:13" ht="18">
      <c r="B10" s="10" t="s">
        <v>280</v>
      </c>
      <c r="C10" s="353">
        <f>'Production-Ciospi'!Y7</f>
        <v>150371.86333333334</v>
      </c>
      <c r="D10" s="355">
        <f>'Production-Ciospi'!AA7</f>
        <v>195987.13527136747</v>
      </c>
      <c r="E10" s="116"/>
      <c r="F10" s="116"/>
      <c r="G10" s="118" t="s">
        <v>280</v>
      </c>
      <c r="H10" s="355"/>
      <c r="I10" s="358" t="str">
        <f t="shared" si="0"/>
        <v/>
      </c>
      <c r="J10" s="358" t="str">
        <f t="shared" si="1"/>
        <v/>
      </c>
      <c r="K10" s="116"/>
      <c r="L10" s="122">
        <f t="shared" si="2"/>
        <v>150371.86333333334</v>
      </c>
      <c r="M10" s="41"/>
    </row>
    <row r="11" spans="1:13" ht="18">
      <c r="B11" s="10" t="s">
        <v>281</v>
      </c>
      <c r="C11" s="353">
        <f>'Production-Ciospi'!Y8</f>
        <v>175263.78333333335</v>
      </c>
      <c r="D11" s="355">
        <f>'Production-Ciospi'!AA8</f>
        <v>187318.45974369542</v>
      </c>
      <c r="E11" s="116"/>
      <c r="F11" s="116"/>
      <c r="G11" s="118" t="s">
        <v>281</v>
      </c>
      <c r="H11" s="355"/>
      <c r="I11" s="358" t="str">
        <f t="shared" si="0"/>
        <v/>
      </c>
      <c r="J11" s="358" t="str">
        <f t="shared" si="1"/>
        <v/>
      </c>
      <c r="K11" s="116"/>
      <c r="L11" s="122">
        <f t="shared" si="2"/>
        <v>175263.78333333335</v>
      </c>
      <c r="M11" s="41"/>
    </row>
    <row r="12" spans="1:13" ht="18">
      <c r="B12" s="10" t="s">
        <v>132</v>
      </c>
      <c r="C12" s="353">
        <f>'Production-Ciospi'!Y9</f>
        <v>211660.26333333334</v>
      </c>
      <c r="D12" s="355">
        <f>'Production-Ciospi'!AA9</f>
        <v>268385.80846076092</v>
      </c>
      <c r="E12" s="116"/>
      <c r="F12" s="116"/>
      <c r="G12" s="118" t="s">
        <v>132</v>
      </c>
      <c r="H12" s="355"/>
      <c r="I12" s="358" t="str">
        <f t="shared" si="0"/>
        <v/>
      </c>
      <c r="J12" s="358" t="str">
        <f t="shared" si="1"/>
        <v/>
      </c>
      <c r="K12" s="116"/>
      <c r="L12" s="122">
        <f t="shared" si="2"/>
        <v>211660.26333333334</v>
      </c>
      <c r="M12" s="41"/>
    </row>
    <row r="13" spans="1:13" ht="18">
      <c r="B13" s="10" t="s">
        <v>282</v>
      </c>
      <c r="C13" s="353">
        <f>'Production-Ciospi'!Y10</f>
        <v>194768.66666666666</v>
      </c>
      <c r="D13" s="355">
        <f>'Production-Ciospi'!AA10</f>
        <v>249095.32750678665</v>
      </c>
      <c r="E13" s="116"/>
      <c r="F13" s="116"/>
      <c r="G13" s="118" t="s">
        <v>282</v>
      </c>
      <c r="H13" s="355"/>
      <c r="I13" s="358" t="str">
        <f t="shared" si="0"/>
        <v/>
      </c>
      <c r="J13" s="358" t="str">
        <f t="shared" si="1"/>
        <v/>
      </c>
      <c r="K13" s="116"/>
      <c r="L13" s="122">
        <f t="shared" si="2"/>
        <v>194768.66666666666</v>
      </c>
      <c r="M13" s="41"/>
    </row>
    <row r="14" spans="1:13" ht="18">
      <c r="B14" s="10" t="s">
        <v>283</v>
      </c>
      <c r="C14" s="353">
        <f>'Production-Ciospi'!Y11</f>
        <v>175411.07666666666</v>
      </c>
      <c r="D14" s="355">
        <f>'Production-Ciospi'!AA11</f>
        <v>240678.22287024261</v>
      </c>
      <c r="E14" s="116"/>
      <c r="F14" s="116"/>
      <c r="G14" s="118" t="s">
        <v>283</v>
      </c>
      <c r="H14" s="355"/>
      <c r="I14" s="358" t="str">
        <f t="shared" si="0"/>
        <v/>
      </c>
      <c r="J14" s="358" t="str">
        <f t="shared" si="1"/>
        <v/>
      </c>
      <c r="K14" s="116"/>
      <c r="L14" s="122">
        <f t="shared" si="2"/>
        <v>175411.07666666666</v>
      </c>
      <c r="M14" s="41"/>
    </row>
    <row r="15" spans="1:13" ht="18">
      <c r="B15" s="10" t="s">
        <v>284</v>
      </c>
      <c r="C15" s="353">
        <f>'Production-Ciospi'!Y12</f>
        <v>160336.92333333334</v>
      </c>
      <c r="D15" s="355">
        <f>'Production-Ciospi'!AA12</f>
        <v>242239.67843644015</v>
      </c>
      <c r="E15" s="116"/>
      <c r="F15" s="116"/>
      <c r="G15" s="118" t="s">
        <v>284</v>
      </c>
      <c r="H15" s="355"/>
      <c r="I15" s="358" t="str">
        <f t="shared" si="0"/>
        <v/>
      </c>
      <c r="J15" s="358" t="str">
        <f t="shared" si="1"/>
        <v/>
      </c>
      <c r="K15" s="116"/>
      <c r="L15" s="122">
        <f t="shared" si="2"/>
        <v>160336.92333333334</v>
      </c>
      <c r="M15" s="41"/>
    </row>
    <row r="16" spans="1:13" ht="18">
      <c r="B16" s="10" t="s">
        <v>285</v>
      </c>
      <c r="C16" s="353">
        <f>'Production-Ciospi'!Y13</f>
        <v>131074.92462499999</v>
      </c>
      <c r="D16" s="355">
        <f>'Production-Ciospi'!AA13</f>
        <v>207014.42666321137</v>
      </c>
      <c r="E16" s="116"/>
      <c r="F16" s="116"/>
      <c r="G16" s="118" t="s">
        <v>285</v>
      </c>
      <c r="H16" s="355"/>
      <c r="I16" s="358" t="str">
        <f t="shared" si="0"/>
        <v/>
      </c>
      <c r="J16" s="358" t="str">
        <f t="shared" si="1"/>
        <v/>
      </c>
      <c r="K16" s="116"/>
      <c r="L16" s="122">
        <f t="shared" si="2"/>
        <v>131074.92462499999</v>
      </c>
      <c r="M16" s="41"/>
    </row>
    <row r="17" spans="1:13" ht="18">
      <c r="B17" s="10" t="s">
        <v>286</v>
      </c>
      <c r="C17" s="353">
        <f>'Production-Ciospi'!Y14</f>
        <v>157888.54999999999</v>
      </c>
      <c r="D17" s="355">
        <f>'Production-Ciospi'!AA14</f>
        <v>224603.89682141453</v>
      </c>
      <c r="E17" s="116"/>
      <c r="F17" s="116"/>
      <c r="G17" s="118" t="s">
        <v>286</v>
      </c>
      <c r="H17" s="355"/>
      <c r="I17" s="358" t="str">
        <f t="shared" si="0"/>
        <v/>
      </c>
      <c r="J17" s="358" t="str">
        <f t="shared" si="1"/>
        <v/>
      </c>
      <c r="K17" s="116"/>
      <c r="L17" s="122">
        <f t="shared" si="2"/>
        <v>157888.54999999999</v>
      </c>
      <c r="M17" s="41"/>
    </row>
    <row r="18" spans="1:13" ht="18">
      <c r="B18" s="10" t="s">
        <v>287</v>
      </c>
      <c r="C18" s="353">
        <f>'Production-Ciospi'!Y15</f>
        <v>176827.69500000001</v>
      </c>
      <c r="D18" s="355">
        <f>'Production-Ciospi'!AA15</f>
        <v>207395.28997067755</v>
      </c>
      <c r="E18" s="116"/>
      <c r="F18" s="116"/>
      <c r="G18" s="118" t="s">
        <v>287</v>
      </c>
      <c r="H18" s="355"/>
      <c r="I18" s="358" t="str">
        <f t="shared" si="0"/>
        <v/>
      </c>
      <c r="J18" s="358" t="str">
        <f t="shared" si="1"/>
        <v/>
      </c>
      <c r="K18" s="116"/>
      <c r="L18" s="122">
        <f t="shared" si="2"/>
        <v>176827.69500000001</v>
      </c>
      <c r="M18" s="41"/>
    </row>
    <row r="19" spans="1:13" ht="18.75" thickBot="1">
      <c r="B19" s="11" t="s">
        <v>288</v>
      </c>
      <c r="C19" s="353">
        <f>'Production-Ciospi'!Y16</f>
        <v>155998.29958333331</v>
      </c>
      <c r="D19" s="355">
        <f>'Production-Ciospi'!AA16</f>
        <v>203134.95473292741</v>
      </c>
      <c r="E19" s="116"/>
      <c r="F19" s="116"/>
      <c r="G19" s="119" t="s">
        <v>288</v>
      </c>
      <c r="H19" s="356"/>
      <c r="I19" s="359" t="str">
        <f t="shared" si="0"/>
        <v/>
      </c>
      <c r="J19" s="359" t="str">
        <f t="shared" si="1"/>
        <v/>
      </c>
      <c r="K19" s="116"/>
      <c r="L19" s="123">
        <f t="shared" si="2"/>
        <v>155998.29958333331</v>
      </c>
      <c r="M19" s="41"/>
    </row>
    <row r="20" spans="1:13" ht="18.75" thickBot="1">
      <c r="B20" s="12" t="s">
        <v>334</v>
      </c>
      <c r="C20" s="125">
        <f>IF(SUM(C8:C19)=0,"",SUM(C8:C19))</f>
        <v>2009553.5217083334</v>
      </c>
      <c r="D20" s="125">
        <f t="shared" ref="D20" si="3">IF(SUM(D8:D19)=0,"",SUM(D8:D19))</f>
        <v>2608315.4616559432</v>
      </c>
      <c r="E20" s="116"/>
      <c r="F20" s="116"/>
      <c r="G20" s="120" t="s">
        <v>334</v>
      </c>
      <c r="H20" s="125" t="str">
        <f>IF(SUM(H8:H19)=0,"",SUM(H8:H19))</f>
        <v/>
      </c>
      <c r="I20" s="125" t="str">
        <f t="shared" ref="I20:J20" si="4">IF(SUM(I8:I19)=0,"",SUM(I8:I19))</f>
        <v/>
      </c>
      <c r="J20" s="125" t="str">
        <f t="shared" si="4"/>
        <v/>
      </c>
      <c r="K20" s="116"/>
      <c r="L20" s="125">
        <f>IF(SUM(L8:L19)=0,"",SUM(L8:L19))</f>
        <v>2009553.5217083334</v>
      </c>
      <c r="M20" s="41"/>
    </row>
    <row r="21" spans="1:13" ht="18.75" thickBot="1">
      <c r="B21" s="63" t="s">
        <v>335</v>
      </c>
      <c r="C21" s="126">
        <f>IFERROR(AVERAGE(C8:C19),"")</f>
        <v>167462.79347569446</v>
      </c>
      <c r="D21" s="126">
        <f>IFERROR(AVERAGE(D8:D19),"")</f>
        <v>217359.62180466193</v>
      </c>
      <c r="E21" s="116"/>
      <c r="F21" s="116"/>
      <c r="G21" s="121" t="s">
        <v>335</v>
      </c>
      <c r="H21" s="126" t="str">
        <f>IFERROR(AVERAGE(H8:H19),"")</f>
        <v/>
      </c>
      <c r="I21" s="126" t="str">
        <f t="shared" ref="I21:J21" si="5">IFERROR(AVERAGE(I8:I19),"")</f>
        <v/>
      </c>
      <c r="J21" s="126" t="str">
        <f t="shared" si="5"/>
        <v/>
      </c>
      <c r="K21" s="116"/>
      <c r="L21" s="126">
        <f>IFERROR(AVERAGE(L8:L19),"")</f>
        <v>167462.79347569446</v>
      </c>
      <c r="M21" s="41"/>
    </row>
    <row r="22" spans="1:13" ht="16.5">
      <c r="B22" s="41"/>
      <c r="C22" s="41"/>
      <c r="D22" s="41"/>
      <c r="E22" s="41"/>
      <c r="F22" s="41"/>
      <c r="G22" s="41"/>
      <c r="H22" s="41"/>
      <c r="I22" s="41" t="s">
        <v>336</v>
      </c>
      <c r="J22" s="41"/>
      <c r="K22" s="41"/>
      <c r="L22" s="41"/>
      <c r="M22" s="41"/>
    </row>
    <row r="24" spans="1:13">
      <c r="D24" s="475"/>
    </row>
    <row r="25" spans="1:13">
      <c r="A25" s="1933">
        <v>2024</v>
      </c>
    </row>
    <row r="26" spans="1:13" ht="15.75" thickBot="1">
      <c r="A26" s="1933"/>
    </row>
    <row r="27" spans="1:13" ht="21.75" thickBot="1">
      <c r="B27" s="1934" t="s">
        <v>329</v>
      </c>
      <c r="C27" s="1935"/>
      <c r="D27" s="1936"/>
      <c r="E27" s="41"/>
      <c r="F27" s="41"/>
      <c r="G27" s="1934" t="s">
        <v>330</v>
      </c>
      <c r="H27" s="1935"/>
      <c r="I27" s="1935"/>
      <c r="J27" s="1936"/>
      <c r="K27" s="41"/>
      <c r="L27" s="41"/>
    </row>
    <row r="28" spans="1:13" ht="18.75" thickBot="1">
      <c r="B28" s="63">
        <v>2023</v>
      </c>
      <c r="C28" s="63" t="s">
        <v>295</v>
      </c>
      <c r="D28" s="63" t="s">
        <v>331</v>
      </c>
      <c r="E28" s="41"/>
      <c r="F28" s="41"/>
      <c r="G28" s="63">
        <v>2023</v>
      </c>
      <c r="H28" s="63" t="s">
        <v>295</v>
      </c>
      <c r="I28" s="63" t="s">
        <v>332</v>
      </c>
      <c r="J28" s="63" t="s">
        <v>331</v>
      </c>
      <c r="K28" s="41"/>
      <c r="L28" s="63" t="s">
        <v>332</v>
      </c>
    </row>
    <row r="29" spans="1:13" ht="18.75" thickBot="1">
      <c r="B29" s="63" t="s">
        <v>121</v>
      </c>
      <c r="C29" s="63" t="s">
        <v>296</v>
      </c>
      <c r="D29" s="67" t="s">
        <v>322</v>
      </c>
      <c r="E29" s="41"/>
      <c r="F29" s="41"/>
      <c r="G29" s="63" t="s">
        <v>121</v>
      </c>
      <c r="H29" s="63" t="s">
        <v>333</v>
      </c>
      <c r="I29" s="67" t="s">
        <v>296</v>
      </c>
      <c r="J29" s="67" t="s">
        <v>322</v>
      </c>
      <c r="K29" s="41"/>
      <c r="L29" s="63" t="s">
        <v>296</v>
      </c>
    </row>
    <row r="30" spans="1:13" ht="18">
      <c r="B30" s="108" t="s">
        <v>278</v>
      </c>
      <c r="C30" s="354">
        <f>'Production-Ciospi'!Y27</f>
        <v>167055.83333333334</v>
      </c>
      <c r="D30" s="354">
        <f>'Production-Ciospi'!AA27</f>
        <v>212551.17395119098</v>
      </c>
      <c r="E30" s="116"/>
      <c r="F30" s="116"/>
      <c r="G30" s="117" t="s">
        <v>278</v>
      </c>
      <c r="H30" s="353"/>
      <c r="I30" s="357" t="str">
        <f>IFERROR(J30/0.6,"")</f>
        <v/>
      </c>
      <c r="J30" s="357" t="str">
        <f>IF(H30*0.35=0,"",H30*0.35)</f>
        <v/>
      </c>
      <c r="K30" s="116"/>
      <c r="L30" s="124">
        <f>IF(SUM(I30,C30)=0,"",SUM(I30,C30))</f>
        <v>167055.83333333334</v>
      </c>
    </row>
    <row r="31" spans="1:13" ht="18">
      <c r="B31" s="10" t="s">
        <v>279</v>
      </c>
      <c r="C31" s="353">
        <f>'Production-Ciospi'!Y28</f>
        <v>0</v>
      </c>
      <c r="D31" s="355" t="e">
        <f>'Production-Ciospi'!AA28</f>
        <v>#VALUE!</v>
      </c>
      <c r="E31" s="116"/>
      <c r="F31" s="116"/>
      <c r="G31" s="118" t="s">
        <v>279</v>
      </c>
      <c r="H31" s="355"/>
      <c r="I31" s="358" t="str">
        <f t="shared" ref="I31:I41" si="6">IFERROR(J31/0.6,"")</f>
        <v/>
      </c>
      <c r="J31" s="358" t="str">
        <f t="shared" ref="J31:J41" si="7">IF(H31*0.35=0,"",H31*0.35)</f>
        <v/>
      </c>
      <c r="K31" s="116"/>
      <c r="L31" s="122" t="str">
        <f t="shared" ref="L31:L41" si="8">IF(SUM(I31,C31)=0,"",SUM(I31,C31))</f>
        <v/>
      </c>
    </row>
    <row r="32" spans="1:13" ht="18">
      <c r="B32" s="10" t="s">
        <v>280</v>
      </c>
      <c r="C32" s="353">
        <f>'Production-Ciospi'!Y29</f>
        <v>0</v>
      </c>
      <c r="D32" s="355" t="e">
        <f>'Production-Ciospi'!AA29</f>
        <v>#VALUE!</v>
      </c>
      <c r="E32" s="116"/>
      <c r="F32" s="116"/>
      <c r="G32" s="118" t="s">
        <v>280</v>
      </c>
      <c r="H32" s="355"/>
      <c r="I32" s="358" t="str">
        <f t="shared" si="6"/>
        <v/>
      </c>
      <c r="J32" s="358" t="str">
        <f t="shared" si="7"/>
        <v/>
      </c>
      <c r="K32" s="116"/>
      <c r="L32" s="122" t="str">
        <f t="shared" si="8"/>
        <v/>
      </c>
    </row>
    <row r="33" spans="2:12" ht="18">
      <c r="B33" s="10" t="s">
        <v>281</v>
      </c>
      <c r="C33" s="353">
        <f>'Production-Ciospi'!Y30</f>
        <v>0</v>
      </c>
      <c r="D33" s="355" t="e">
        <f>'Production-Ciospi'!AA30</f>
        <v>#VALUE!</v>
      </c>
      <c r="E33" s="116"/>
      <c r="F33" s="116"/>
      <c r="G33" s="118" t="s">
        <v>281</v>
      </c>
      <c r="H33" s="355"/>
      <c r="I33" s="358" t="str">
        <f t="shared" si="6"/>
        <v/>
      </c>
      <c r="J33" s="358" t="str">
        <f t="shared" si="7"/>
        <v/>
      </c>
      <c r="K33" s="116"/>
      <c r="L33" s="122" t="str">
        <f t="shared" si="8"/>
        <v/>
      </c>
    </row>
    <row r="34" spans="2:12" ht="18">
      <c r="B34" s="10" t="s">
        <v>132</v>
      </c>
      <c r="C34" s="353">
        <f>'Production-Ciospi'!Y31</f>
        <v>0</v>
      </c>
      <c r="D34" s="355" t="e">
        <f>'Production-Ciospi'!AA31</f>
        <v>#VALUE!</v>
      </c>
      <c r="E34" s="116"/>
      <c r="F34" s="116"/>
      <c r="G34" s="118" t="s">
        <v>132</v>
      </c>
      <c r="H34" s="355"/>
      <c r="I34" s="358" t="str">
        <f t="shared" si="6"/>
        <v/>
      </c>
      <c r="J34" s="358" t="str">
        <f t="shared" si="7"/>
        <v/>
      </c>
      <c r="K34" s="116"/>
      <c r="L34" s="122" t="str">
        <f t="shared" si="8"/>
        <v/>
      </c>
    </row>
    <row r="35" spans="2:12" ht="18">
      <c r="B35" s="10" t="s">
        <v>282</v>
      </c>
      <c r="C35" s="353">
        <f>'Production-Ciospi'!Y32</f>
        <v>0</v>
      </c>
      <c r="D35" s="355" t="e">
        <f>'Production-Ciospi'!AA32</f>
        <v>#VALUE!</v>
      </c>
      <c r="E35" s="116"/>
      <c r="F35" s="116"/>
      <c r="G35" s="118" t="s">
        <v>282</v>
      </c>
      <c r="H35" s="355"/>
      <c r="I35" s="358" t="str">
        <f t="shared" si="6"/>
        <v/>
      </c>
      <c r="J35" s="358" t="str">
        <f t="shared" si="7"/>
        <v/>
      </c>
      <c r="K35" s="116"/>
      <c r="L35" s="122" t="str">
        <f t="shared" si="8"/>
        <v/>
      </c>
    </row>
    <row r="36" spans="2:12" ht="18">
      <c r="B36" s="10" t="s">
        <v>283</v>
      </c>
      <c r="C36" s="353">
        <f>'Production-Ciospi'!Y33</f>
        <v>0</v>
      </c>
      <c r="D36" s="355" t="e">
        <f>'Production-Ciospi'!AA33</f>
        <v>#VALUE!</v>
      </c>
      <c r="E36" s="116"/>
      <c r="F36" s="116"/>
      <c r="G36" s="118" t="s">
        <v>283</v>
      </c>
      <c r="H36" s="355"/>
      <c r="I36" s="358" t="str">
        <f t="shared" si="6"/>
        <v/>
      </c>
      <c r="J36" s="358" t="str">
        <f t="shared" si="7"/>
        <v/>
      </c>
      <c r="K36" s="116"/>
      <c r="L36" s="122" t="str">
        <f t="shared" si="8"/>
        <v/>
      </c>
    </row>
    <row r="37" spans="2:12" ht="18">
      <c r="B37" s="10" t="s">
        <v>284</v>
      </c>
      <c r="C37" s="353">
        <f>'Production-Ciospi'!Y34</f>
        <v>0</v>
      </c>
      <c r="D37" s="355" t="e">
        <f>'Production-Ciospi'!AA34</f>
        <v>#VALUE!</v>
      </c>
      <c r="E37" s="116"/>
      <c r="F37" s="116"/>
      <c r="G37" s="118" t="s">
        <v>284</v>
      </c>
      <c r="H37" s="355"/>
      <c r="I37" s="358" t="str">
        <f t="shared" si="6"/>
        <v/>
      </c>
      <c r="J37" s="358" t="str">
        <f t="shared" si="7"/>
        <v/>
      </c>
      <c r="K37" s="116"/>
      <c r="L37" s="122" t="str">
        <f t="shared" si="8"/>
        <v/>
      </c>
    </row>
    <row r="38" spans="2:12" ht="18">
      <c r="B38" s="10" t="s">
        <v>285</v>
      </c>
      <c r="C38" s="353">
        <f>'Production-Ciospi'!Y35</f>
        <v>0</v>
      </c>
      <c r="D38" s="355" t="e">
        <f>'Production-Ciospi'!AA35</f>
        <v>#VALUE!</v>
      </c>
      <c r="E38" s="116"/>
      <c r="F38" s="116"/>
      <c r="G38" s="118" t="s">
        <v>285</v>
      </c>
      <c r="H38" s="355"/>
      <c r="I38" s="358" t="str">
        <f t="shared" si="6"/>
        <v/>
      </c>
      <c r="J38" s="358" t="str">
        <f t="shared" si="7"/>
        <v/>
      </c>
      <c r="K38" s="116"/>
      <c r="L38" s="122" t="str">
        <f t="shared" si="8"/>
        <v/>
      </c>
    </row>
    <row r="39" spans="2:12" ht="18">
      <c r="B39" s="10" t="s">
        <v>286</v>
      </c>
      <c r="C39" s="353">
        <f>'Production-Ciospi'!Y36</f>
        <v>0</v>
      </c>
      <c r="D39" s="355" t="e">
        <f>'Production-Ciospi'!AA36</f>
        <v>#VALUE!</v>
      </c>
      <c r="E39" s="116"/>
      <c r="F39" s="116"/>
      <c r="G39" s="118" t="s">
        <v>286</v>
      </c>
      <c r="H39" s="355"/>
      <c r="I39" s="358" t="str">
        <f t="shared" si="6"/>
        <v/>
      </c>
      <c r="J39" s="358" t="str">
        <f t="shared" si="7"/>
        <v/>
      </c>
      <c r="K39" s="116"/>
      <c r="L39" s="122" t="str">
        <f t="shared" si="8"/>
        <v/>
      </c>
    </row>
    <row r="40" spans="2:12" ht="18">
      <c r="B40" s="10" t="s">
        <v>287</v>
      </c>
      <c r="C40" s="353">
        <f>'Production-Ciospi'!Y37</f>
        <v>0</v>
      </c>
      <c r="D40" s="355" t="e">
        <f>'Production-Ciospi'!AA37</f>
        <v>#VALUE!</v>
      </c>
      <c r="E40" s="116"/>
      <c r="F40" s="116"/>
      <c r="G40" s="118" t="s">
        <v>287</v>
      </c>
      <c r="H40" s="355"/>
      <c r="I40" s="358" t="str">
        <f t="shared" si="6"/>
        <v/>
      </c>
      <c r="J40" s="358" t="str">
        <f t="shared" si="7"/>
        <v/>
      </c>
      <c r="K40" s="116"/>
      <c r="L40" s="122" t="str">
        <f t="shared" si="8"/>
        <v/>
      </c>
    </row>
    <row r="41" spans="2:12" ht="18.75" thickBot="1">
      <c r="B41" s="11" t="s">
        <v>288</v>
      </c>
      <c r="C41" s="1365">
        <f>'Production-Ciospi'!Y38</f>
        <v>0</v>
      </c>
      <c r="D41" s="356" t="e">
        <f>'Production-Ciospi'!AA38</f>
        <v>#VALUE!</v>
      </c>
      <c r="E41" s="116"/>
      <c r="F41" s="116"/>
      <c r="G41" s="119" t="s">
        <v>288</v>
      </c>
      <c r="H41" s="356"/>
      <c r="I41" s="359" t="str">
        <f t="shared" si="6"/>
        <v/>
      </c>
      <c r="J41" s="359" t="str">
        <f t="shared" si="7"/>
        <v/>
      </c>
      <c r="K41" s="116"/>
      <c r="L41" s="123" t="str">
        <f t="shared" si="8"/>
        <v/>
      </c>
    </row>
    <row r="42" spans="2:12" ht="18.75" thickBot="1">
      <c r="B42" s="12" t="s">
        <v>334</v>
      </c>
      <c r="C42" s="125">
        <f>IF(SUM(C30:C41)=0,"",SUM(C30:C41))</f>
        <v>167055.83333333334</v>
      </c>
      <c r="D42" s="125" t="e">
        <f t="shared" ref="D42" si="9">IF(SUM(D30:D41)=0,"",SUM(D30:D41))</f>
        <v>#VALUE!</v>
      </c>
      <c r="E42" s="116"/>
      <c r="F42" s="116"/>
      <c r="G42" s="120" t="s">
        <v>334</v>
      </c>
      <c r="H42" s="125" t="str">
        <f>IF(SUM(H30:H41)=0,"",SUM(H30:H41))</f>
        <v/>
      </c>
      <c r="I42" s="125" t="str">
        <f t="shared" ref="I42:J42" si="10">IF(SUM(I30:I41)=0,"",SUM(I30:I41))</f>
        <v/>
      </c>
      <c r="J42" s="125" t="str">
        <f t="shared" si="10"/>
        <v/>
      </c>
      <c r="K42" s="116"/>
      <c r="L42" s="125">
        <f>IF(SUM(L30:L41)=0,"",SUM(L30:L41))</f>
        <v>167055.83333333334</v>
      </c>
    </row>
    <row r="43" spans="2:12" ht="18.75" thickBot="1">
      <c r="B43" s="63" t="s">
        <v>335</v>
      </c>
      <c r="C43" s="126">
        <f>IFERROR(AVERAGE(C30:C41),"")</f>
        <v>13921.319444444445</v>
      </c>
      <c r="D43" s="126" t="str">
        <f>IFERROR(AVERAGE(D30:D41),"")</f>
        <v/>
      </c>
      <c r="E43" s="116"/>
      <c r="F43" s="116"/>
      <c r="G43" s="121" t="s">
        <v>335</v>
      </c>
      <c r="H43" s="126" t="str">
        <f>IFERROR(AVERAGE(H30:H41),"")</f>
        <v/>
      </c>
      <c r="I43" s="126" t="str">
        <f t="shared" ref="I43:J43" si="11">IFERROR(AVERAGE(I30:I41),"")</f>
        <v/>
      </c>
      <c r="J43" s="126" t="str">
        <f t="shared" si="11"/>
        <v/>
      </c>
      <c r="K43" s="116"/>
      <c r="L43" s="126">
        <f>IFERROR(AVERAGE(L30:L41),"")</f>
        <v>167055.83333333334</v>
      </c>
    </row>
    <row r="44" spans="2:12" ht="16.5">
      <c r="B44" s="41"/>
      <c r="C44" s="41"/>
      <c r="D44" s="41"/>
      <c r="E44" s="41"/>
      <c r="F44" s="41"/>
      <c r="G44" s="41"/>
      <c r="H44" s="41"/>
      <c r="I44" s="41" t="s">
        <v>336</v>
      </c>
      <c r="J44" s="41"/>
      <c r="K44" s="41"/>
      <c r="L44" s="41"/>
    </row>
  </sheetData>
  <mergeCells count="6">
    <mergeCell ref="B5:D5"/>
    <mergeCell ref="G5:J5"/>
    <mergeCell ref="A4:A5"/>
    <mergeCell ref="B27:D27"/>
    <mergeCell ref="G27:J27"/>
    <mergeCell ref="A25:A26"/>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66B444-71E0-463F-850C-6CF22981F0B7}">
  <dimension ref="A1:AR199"/>
  <sheetViews>
    <sheetView showGridLines="0" zoomScale="70" zoomScaleNormal="70" workbookViewId="0">
      <pane xSplit="1" ySplit="3" topLeftCell="B45" activePane="bottomRight" state="frozen"/>
      <selection pane="topRight" activeCell="B1" sqref="B1"/>
      <selection pane="bottomLeft" activeCell="A4" sqref="A4"/>
      <selection pane="bottomRight"/>
    </sheetView>
  </sheetViews>
  <sheetFormatPr defaultColWidth="13.42578125" defaultRowHeight="18"/>
  <cols>
    <col min="1" max="1" width="34.7109375" style="129" customWidth="1"/>
    <col min="2" max="2" width="13.42578125" style="128"/>
    <col min="3" max="8" width="13.42578125" style="129"/>
    <col min="9" max="9" width="14.140625" style="129" customWidth="1"/>
    <col min="10" max="11" width="13.42578125" style="129"/>
    <col min="12" max="12" width="8.28515625" style="129" customWidth="1"/>
    <col min="13" max="16" width="13.42578125" style="129"/>
    <col min="17" max="17" width="14.28515625" style="129" customWidth="1"/>
    <col min="18" max="19" width="13.42578125" style="129"/>
    <col min="20" max="20" width="16.7109375" style="129" customWidth="1"/>
    <col min="21" max="22" width="13.42578125" style="129"/>
    <col min="23" max="23" width="22" style="129" customWidth="1"/>
    <col min="24" max="24" width="19.28515625" style="129" customWidth="1"/>
    <col min="25" max="25" width="20.5703125" style="129" customWidth="1"/>
    <col min="26" max="16384" width="13.42578125" style="129"/>
  </cols>
  <sheetData>
    <row r="1" spans="1:13" ht="29.25" customHeight="1"/>
    <row r="2" spans="1:13" ht="21" customHeight="1"/>
    <row r="3" spans="1:13" ht="39.75" customHeight="1"/>
    <row r="4" spans="1:13" ht="23.25" customHeight="1" thickBot="1">
      <c r="A4" s="1933">
        <v>2023</v>
      </c>
    </row>
    <row r="5" spans="1:13" ht="21.75" thickBot="1">
      <c r="A5" s="1933"/>
      <c r="B5" s="1950" t="s">
        <v>337</v>
      </c>
      <c r="C5" s="1951"/>
      <c r="D5" s="1951"/>
      <c r="E5" s="1951"/>
      <c r="F5" s="1951"/>
      <c r="G5" s="1951"/>
      <c r="H5" s="1951"/>
      <c r="I5" s="1951"/>
      <c r="J5" s="1951"/>
      <c r="K5" s="1951"/>
      <c r="L5" s="1951"/>
      <c r="M5" s="1952"/>
    </row>
    <row r="6" spans="1:13" ht="54.75" thickBot="1">
      <c r="A6" s="880" t="s">
        <v>338</v>
      </c>
      <c r="B6" s="127" t="s">
        <v>121</v>
      </c>
      <c r="C6" s="127" t="s">
        <v>339</v>
      </c>
      <c r="D6" s="127" t="s">
        <v>340</v>
      </c>
      <c r="E6" s="127" t="s">
        <v>341</v>
      </c>
      <c r="F6" s="127" t="s">
        <v>342</v>
      </c>
      <c r="G6" s="127" t="s">
        <v>343</v>
      </c>
      <c r="H6" s="127" t="s">
        <v>344</v>
      </c>
      <c r="I6" s="127" t="s">
        <v>345</v>
      </c>
      <c r="J6" s="127" t="s">
        <v>346</v>
      </c>
      <c r="K6" s="127" t="s">
        <v>347</v>
      </c>
      <c r="L6" s="127" t="s">
        <v>348</v>
      </c>
      <c r="M6" s="127" t="s">
        <v>349</v>
      </c>
    </row>
    <row r="7" spans="1:13">
      <c r="A7" s="882" t="s">
        <v>337</v>
      </c>
      <c r="B7" s="130" t="s">
        <v>278</v>
      </c>
      <c r="C7" s="131">
        <v>0</v>
      </c>
      <c r="D7" s="131">
        <v>0</v>
      </c>
      <c r="E7" s="131">
        <v>0</v>
      </c>
      <c r="F7" s="131">
        <v>1</v>
      </c>
      <c r="G7" s="132">
        <v>0</v>
      </c>
      <c r="H7" s="133">
        <v>0</v>
      </c>
      <c r="I7" s="134">
        <v>0</v>
      </c>
      <c r="J7" s="135">
        <f>IF(SUM(C7:G7,I7)=0,"",SUM(C7:G7,I7))</f>
        <v>1</v>
      </c>
      <c r="K7" s="131">
        <v>212210</v>
      </c>
      <c r="L7" s="456">
        <f>IFERROR((SUM(C7:E7)*200000)/K7,"")</f>
        <v>0</v>
      </c>
      <c r="M7" s="131"/>
    </row>
    <row r="8" spans="1:13">
      <c r="A8" t="s">
        <v>81</v>
      </c>
      <c r="B8" s="136" t="s">
        <v>279</v>
      </c>
      <c r="C8" s="137">
        <v>0</v>
      </c>
      <c r="D8" s="137">
        <v>0</v>
      </c>
      <c r="E8" s="137">
        <v>0</v>
      </c>
      <c r="F8" s="137">
        <v>2</v>
      </c>
      <c r="G8" s="138">
        <v>0</v>
      </c>
      <c r="H8" s="137">
        <v>0</v>
      </c>
      <c r="I8" s="139">
        <v>1</v>
      </c>
      <c r="J8" s="140">
        <f t="shared" ref="J8:J18" si="0">IF(SUM(C8:G8,I8)=0,"",SUM(C8:G8,I8))</f>
        <v>3</v>
      </c>
      <c r="K8" s="137">
        <v>180680</v>
      </c>
      <c r="L8" s="141">
        <f t="shared" ref="L8:L19" si="1">IFERROR((SUM(C8:E8)*200000)/K8,"")</f>
        <v>0</v>
      </c>
      <c r="M8" s="137"/>
    </row>
    <row r="9" spans="1:13">
      <c r="B9" s="136" t="s">
        <v>280</v>
      </c>
      <c r="C9" s="137">
        <v>1</v>
      </c>
      <c r="D9" s="137">
        <v>0</v>
      </c>
      <c r="E9" s="137">
        <v>0</v>
      </c>
      <c r="F9" s="137">
        <v>0</v>
      </c>
      <c r="G9" s="138">
        <v>0</v>
      </c>
      <c r="H9" s="137">
        <v>0</v>
      </c>
      <c r="I9" s="139">
        <v>0</v>
      </c>
      <c r="J9" s="140">
        <f t="shared" si="0"/>
        <v>1</v>
      </c>
      <c r="K9" s="137">
        <v>180530</v>
      </c>
      <c r="L9" s="141">
        <f t="shared" si="1"/>
        <v>1.1078491109510884</v>
      </c>
      <c r="M9" s="137"/>
    </row>
    <row r="10" spans="1:13">
      <c r="B10" s="136" t="s">
        <v>281</v>
      </c>
      <c r="C10" s="137">
        <v>0</v>
      </c>
      <c r="D10" s="137">
        <v>1</v>
      </c>
      <c r="E10" s="137">
        <v>0</v>
      </c>
      <c r="F10" s="137">
        <v>1</v>
      </c>
      <c r="G10" s="138">
        <v>0</v>
      </c>
      <c r="H10" s="137">
        <v>0</v>
      </c>
      <c r="I10" s="139">
        <v>0</v>
      </c>
      <c r="J10" s="140">
        <f t="shared" si="0"/>
        <v>2</v>
      </c>
      <c r="K10" s="137">
        <v>157480</v>
      </c>
      <c r="L10" s="141">
        <f t="shared" si="1"/>
        <v>1.2700025400050801</v>
      </c>
      <c r="M10" s="137"/>
    </row>
    <row r="11" spans="1:13">
      <c r="B11" s="136" t="s">
        <v>132</v>
      </c>
      <c r="C11" s="137">
        <v>0</v>
      </c>
      <c r="D11" s="137">
        <v>0</v>
      </c>
      <c r="E11" s="137">
        <v>0</v>
      </c>
      <c r="F11" s="137">
        <v>3</v>
      </c>
      <c r="G11" s="138">
        <v>0</v>
      </c>
      <c r="H11" s="137">
        <v>0</v>
      </c>
      <c r="I11" s="139">
        <v>0</v>
      </c>
      <c r="J11" s="140">
        <f t="shared" si="0"/>
        <v>3</v>
      </c>
      <c r="K11" s="137">
        <v>222210</v>
      </c>
      <c r="L11" s="141">
        <f t="shared" si="1"/>
        <v>0</v>
      </c>
      <c r="M11" s="137"/>
    </row>
    <row r="12" spans="1:13">
      <c r="B12" s="136" t="s">
        <v>282</v>
      </c>
      <c r="C12" s="137">
        <v>2</v>
      </c>
      <c r="D12" s="137">
        <v>0</v>
      </c>
      <c r="E12" s="137">
        <v>0</v>
      </c>
      <c r="F12" s="137">
        <v>0</v>
      </c>
      <c r="G12" s="138">
        <v>0</v>
      </c>
      <c r="H12" s="137">
        <v>0</v>
      </c>
      <c r="I12" s="139">
        <v>0</v>
      </c>
      <c r="J12" s="140">
        <f t="shared" si="0"/>
        <v>2</v>
      </c>
      <c r="K12" s="137">
        <v>205620</v>
      </c>
      <c r="L12" s="141">
        <f>IFERROR((SUM(C12:E12)*200000)/K12,"")</f>
        <v>1.9453360568038129</v>
      </c>
      <c r="M12" s="137"/>
    </row>
    <row r="13" spans="1:13">
      <c r="B13" s="136" t="s">
        <v>283</v>
      </c>
      <c r="C13" s="137">
        <v>0</v>
      </c>
      <c r="D13" s="137">
        <v>1</v>
      </c>
      <c r="E13" s="137">
        <v>0</v>
      </c>
      <c r="F13" s="137">
        <v>1</v>
      </c>
      <c r="G13" s="138">
        <v>0</v>
      </c>
      <c r="H13" s="137">
        <v>0</v>
      </c>
      <c r="I13" s="139">
        <v>0</v>
      </c>
      <c r="J13" s="140">
        <v>2</v>
      </c>
      <c r="K13" s="137">
        <v>211050</v>
      </c>
      <c r="L13" s="141">
        <f t="shared" si="1"/>
        <v>0.94764273868751481</v>
      </c>
      <c r="M13" s="137"/>
    </row>
    <row r="14" spans="1:13">
      <c r="B14" s="136" t="s">
        <v>284</v>
      </c>
      <c r="C14" s="137">
        <v>0</v>
      </c>
      <c r="D14" s="137">
        <v>1</v>
      </c>
      <c r="E14" s="137">
        <v>0</v>
      </c>
      <c r="F14" s="137">
        <v>1</v>
      </c>
      <c r="G14" s="138">
        <v>0</v>
      </c>
      <c r="H14" s="137">
        <v>0</v>
      </c>
      <c r="I14" s="139">
        <v>0</v>
      </c>
      <c r="J14" s="140">
        <f t="shared" si="0"/>
        <v>2</v>
      </c>
      <c r="K14" s="137">
        <v>191840</v>
      </c>
      <c r="L14" s="141">
        <f t="shared" si="1"/>
        <v>1.042535446205171</v>
      </c>
      <c r="M14" s="137"/>
    </row>
    <row r="15" spans="1:13">
      <c r="B15" s="136" t="s">
        <v>285</v>
      </c>
      <c r="C15" s="137">
        <v>0</v>
      </c>
      <c r="D15" s="137">
        <v>0</v>
      </c>
      <c r="E15" s="137">
        <v>0</v>
      </c>
      <c r="F15" s="137">
        <v>2</v>
      </c>
      <c r="G15" s="138">
        <v>0</v>
      </c>
      <c r="H15" s="137">
        <v>0</v>
      </c>
      <c r="I15" s="139">
        <v>0</v>
      </c>
      <c r="J15" s="140">
        <f t="shared" si="0"/>
        <v>2</v>
      </c>
      <c r="K15" s="137">
        <v>195230</v>
      </c>
      <c r="L15" s="141">
        <f t="shared" si="1"/>
        <v>0</v>
      </c>
      <c r="M15" s="137"/>
    </row>
    <row r="16" spans="1:13">
      <c r="B16" s="136" t="s">
        <v>286</v>
      </c>
      <c r="C16" s="137">
        <v>0</v>
      </c>
      <c r="D16" s="137">
        <v>0</v>
      </c>
      <c r="E16" s="137">
        <v>0</v>
      </c>
      <c r="F16" s="137">
        <v>0</v>
      </c>
      <c r="G16" s="138">
        <v>0</v>
      </c>
      <c r="H16" s="137">
        <v>0</v>
      </c>
      <c r="I16" s="139">
        <v>0</v>
      </c>
      <c r="J16" s="140" t="str">
        <f t="shared" si="0"/>
        <v/>
      </c>
      <c r="K16" s="137">
        <v>185400</v>
      </c>
      <c r="L16" s="141">
        <f t="shared" si="1"/>
        <v>0</v>
      </c>
      <c r="M16" s="137"/>
    </row>
    <row r="17" spans="1:44">
      <c r="B17" s="136" t="s">
        <v>287</v>
      </c>
      <c r="C17" s="137">
        <v>0</v>
      </c>
      <c r="D17" s="137">
        <v>0</v>
      </c>
      <c r="E17" s="137">
        <v>0</v>
      </c>
      <c r="F17" s="137">
        <v>1</v>
      </c>
      <c r="G17" s="138">
        <v>0</v>
      </c>
      <c r="H17" s="137">
        <v>0</v>
      </c>
      <c r="I17" s="139">
        <v>0</v>
      </c>
      <c r="J17" s="140">
        <f t="shared" si="0"/>
        <v>1</v>
      </c>
      <c r="K17" s="137">
        <v>179590</v>
      </c>
      <c r="L17" s="141">
        <f t="shared" si="1"/>
        <v>0</v>
      </c>
      <c r="M17" s="137"/>
    </row>
    <row r="18" spans="1:44" ht="18.75" thickBot="1">
      <c r="B18" s="142" t="s">
        <v>288</v>
      </c>
      <c r="C18" s="143">
        <v>0</v>
      </c>
      <c r="D18" s="143">
        <v>0</v>
      </c>
      <c r="E18" s="143">
        <v>0</v>
      </c>
      <c r="F18" s="143">
        <v>1</v>
      </c>
      <c r="G18" s="144">
        <v>0</v>
      </c>
      <c r="H18" s="145">
        <v>0</v>
      </c>
      <c r="I18" s="146">
        <v>0</v>
      </c>
      <c r="J18" s="147">
        <f t="shared" si="0"/>
        <v>1</v>
      </c>
      <c r="K18" s="137">
        <v>181270</v>
      </c>
      <c r="L18" s="148">
        <f t="shared" si="1"/>
        <v>0</v>
      </c>
      <c r="M18" s="143"/>
    </row>
    <row r="19" spans="1:44" ht="18.75" thickBot="1">
      <c r="B19" s="149" t="s">
        <v>334</v>
      </c>
      <c r="C19" s="150">
        <f>IF(SUM(C7:C18)=0,"",SUM(C7:C18))</f>
        <v>3</v>
      </c>
      <c r="D19" s="150">
        <f t="shared" ref="D19:H19" si="2">IF(SUM(D7:D18)=0,"",SUM(D7:D18))</f>
        <v>3</v>
      </c>
      <c r="E19" s="150" t="str">
        <f t="shared" si="2"/>
        <v/>
      </c>
      <c r="F19" s="150">
        <f t="shared" si="2"/>
        <v>13</v>
      </c>
      <c r="G19" s="150" t="str">
        <f t="shared" si="2"/>
        <v/>
      </c>
      <c r="H19" s="150" t="str">
        <f t="shared" si="2"/>
        <v/>
      </c>
      <c r="I19" s="150">
        <f>IF(SUM(I7:I18)=0,"",SUM(I7:I18))</f>
        <v>1</v>
      </c>
      <c r="J19" s="150">
        <f>IF(SUM(J7:J18)=0,"",SUM(J7:J18))</f>
        <v>20</v>
      </c>
      <c r="K19" s="150">
        <f>IF(SUM(K7:K18)=0,"",SUM(K7:K18))</f>
        <v>2303110</v>
      </c>
      <c r="L19" s="151">
        <f t="shared" si="1"/>
        <v>0.52103460103946397</v>
      </c>
      <c r="M19" s="150" t="str">
        <f>IF(SUM(M7:M18)=0,"",SUM(M7:M18))</f>
        <v/>
      </c>
    </row>
    <row r="20" spans="1:44" ht="17.25">
      <c r="B20" s="1937"/>
      <c r="C20" s="1937"/>
      <c r="D20" s="1937"/>
      <c r="E20" s="1937"/>
      <c r="F20" s="1937"/>
      <c r="G20" s="1937"/>
      <c r="H20" s="1937"/>
      <c r="I20" s="1937"/>
      <c r="J20" s="1937"/>
      <c r="K20" s="1937"/>
      <c r="L20" s="1937"/>
    </row>
    <row r="21" spans="1:44">
      <c r="B21" s="152"/>
      <c r="C21" s="153"/>
      <c r="D21" s="153"/>
      <c r="E21" s="153"/>
      <c r="F21" s="153"/>
      <c r="G21" s="153"/>
      <c r="H21" s="153"/>
      <c r="I21" s="153"/>
      <c r="J21" s="153"/>
    </row>
    <row r="22" spans="1:44" ht="18.75" thickBot="1"/>
    <row r="23" spans="1:44" ht="21.75" thickBot="1">
      <c r="A23" s="1933">
        <v>2023</v>
      </c>
      <c r="B23" s="1966" t="s">
        <v>350</v>
      </c>
      <c r="C23" s="1966"/>
      <c r="D23" s="1966"/>
      <c r="E23" s="1966"/>
      <c r="F23" s="1966"/>
      <c r="G23" s="1966"/>
      <c r="H23" s="1966"/>
      <c r="I23" s="1966"/>
      <c r="J23" s="1966"/>
      <c r="K23" s="1966"/>
      <c r="L23" s="1966"/>
      <c r="M23" s="1966"/>
      <c r="N23" s="1966"/>
      <c r="O23" s="1966"/>
      <c r="P23" s="1966"/>
      <c r="Q23" s="1966"/>
      <c r="R23" s="1966"/>
      <c r="S23" s="1966"/>
      <c r="T23" s="1966"/>
      <c r="U23" s="1966"/>
      <c r="V23" s="1966"/>
      <c r="W23" s="1966"/>
      <c r="X23" s="1966"/>
      <c r="Y23" s="1966"/>
      <c r="Z23" s="1966"/>
      <c r="AB23" s="1938" t="s">
        <v>351</v>
      </c>
      <c r="AC23" s="1939"/>
      <c r="AD23" s="1940"/>
      <c r="AP23" s="450"/>
    </row>
    <row r="24" spans="1:44" s="154" customFormat="1" ht="19.5" thickBot="1">
      <c r="A24" s="1933"/>
      <c r="B24" s="1945" t="s">
        <v>121</v>
      </c>
      <c r="C24" s="1965" t="s">
        <v>352</v>
      </c>
      <c r="D24" s="1965"/>
      <c r="E24" s="1965"/>
      <c r="F24" s="1965"/>
      <c r="G24" s="1965"/>
      <c r="H24" s="1965"/>
      <c r="I24" s="1965"/>
      <c r="J24" s="1965"/>
      <c r="K24" s="1944" t="s">
        <v>353</v>
      </c>
      <c r="L24" s="1944"/>
      <c r="M24" s="1944"/>
      <c r="N24" s="1944"/>
      <c r="O24" s="1944"/>
      <c r="P24" s="1944"/>
      <c r="Q24" s="1944"/>
      <c r="R24" s="1944"/>
      <c r="S24" s="1944" t="s">
        <v>354</v>
      </c>
      <c r="T24" s="1944"/>
      <c r="U24" s="1944"/>
      <c r="V24" s="1944"/>
      <c r="W24" s="1944"/>
      <c r="X24" s="1944"/>
      <c r="Y24" s="1944"/>
      <c r="Z24" s="1944"/>
      <c r="AB24" s="1941"/>
      <c r="AC24" s="1942"/>
      <c r="AD24" s="1943"/>
    </row>
    <row r="25" spans="1:44" s="154" customFormat="1" ht="19.5" thickBot="1">
      <c r="B25" s="1945"/>
      <c r="C25" s="1945" t="s">
        <v>355</v>
      </c>
      <c r="D25" s="1945"/>
      <c r="E25" s="1945"/>
      <c r="F25" s="1945"/>
      <c r="G25" s="1945" t="s">
        <v>356</v>
      </c>
      <c r="H25" s="1945"/>
      <c r="I25" s="1945"/>
      <c r="J25" s="1945"/>
      <c r="K25" s="1945" t="s">
        <v>355</v>
      </c>
      <c r="L25" s="1945"/>
      <c r="M25" s="1945"/>
      <c r="N25" s="1945"/>
      <c r="O25" s="1945" t="s">
        <v>356</v>
      </c>
      <c r="P25" s="1945"/>
      <c r="Q25" s="1945"/>
      <c r="R25" s="1945"/>
      <c r="S25" s="1945" t="s">
        <v>355</v>
      </c>
      <c r="T25" s="1945"/>
      <c r="U25" s="1945"/>
      <c r="V25" s="1945"/>
      <c r="W25" s="1945" t="s">
        <v>356</v>
      </c>
      <c r="X25" s="1945"/>
      <c r="Y25" s="1945"/>
      <c r="Z25" s="1945"/>
      <c r="AB25" s="1944" t="s">
        <v>357</v>
      </c>
      <c r="AC25" s="1944"/>
      <c r="AD25" s="1944"/>
      <c r="AF25" s="1944" t="s">
        <v>358</v>
      </c>
      <c r="AG25" s="1944"/>
      <c r="AI25" s="1944" t="s">
        <v>299</v>
      </c>
      <c r="AJ25" s="1944"/>
      <c r="AK25" s="1944"/>
      <c r="AL25" s="1944"/>
      <c r="AN25" s="1944" t="s">
        <v>359</v>
      </c>
      <c r="AO25" s="1944"/>
      <c r="AP25" s="1944"/>
      <c r="AQ25" s="1944"/>
    </row>
    <row r="26" spans="1:44" s="154" customFormat="1" ht="18.75" thickBot="1">
      <c r="A26" s="880" t="s">
        <v>338</v>
      </c>
      <c r="B26" s="1945"/>
      <c r="C26" s="127" t="s">
        <v>360</v>
      </c>
      <c r="D26" s="127" t="s">
        <v>361</v>
      </c>
      <c r="E26" s="127" t="s">
        <v>362</v>
      </c>
      <c r="F26" s="127" t="s">
        <v>363</v>
      </c>
      <c r="G26" s="127" t="s">
        <v>360</v>
      </c>
      <c r="H26" s="127" t="s">
        <v>361</v>
      </c>
      <c r="I26" s="127" t="s">
        <v>362</v>
      </c>
      <c r="J26" s="127" t="s">
        <v>363</v>
      </c>
      <c r="K26" s="127" t="s">
        <v>360</v>
      </c>
      <c r="L26" s="127" t="s">
        <v>361</v>
      </c>
      <c r="M26" s="127" t="s">
        <v>362</v>
      </c>
      <c r="N26" s="127" t="s">
        <v>363</v>
      </c>
      <c r="O26" s="127" t="s">
        <v>360</v>
      </c>
      <c r="P26" s="127" t="s">
        <v>361</v>
      </c>
      <c r="Q26" s="127" t="s">
        <v>362</v>
      </c>
      <c r="R26" s="127" t="s">
        <v>363</v>
      </c>
      <c r="S26" s="127" t="s">
        <v>360</v>
      </c>
      <c r="T26" s="127" t="s">
        <v>361</v>
      </c>
      <c r="U26" s="127" t="s">
        <v>362</v>
      </c>
      <c r="V26" s="127" t="s">
        <v>363</v>
      </c>
      <c r="W26" s="127" t="s">
        <v>360</v>
      </c>
      <c r="X26" s="127" t="s">
        <v>361</v>
      </c>
      <c r="Y26" s="127" t="s">
        <v>362</v>
      </c>
      <c r="Z26" s="127" t="s">
        <v>363</v>
      </c>
      <c r="AB26" s="127" t="s">
        <v>355</v>
      </c>
      <c r="AC26" s="127" t="s">
        <v>356</v>
      </c>
      <c r="AD26" s="127" t="s">
        <v>334</v>
      </c>
      <c r="AF26" s="127" t="s">
        <v>355</v>
      </c>
      <c r="AG26" s="127" t="s">
        <v>356</v>
      </c>
      <c r="AI26" s="127" t="s">
        <v>355</v>
      </c>
      <c r="AJ26" s="127" t="s">
        <v>356</v>
      </c>
      <c r="AK26" s="127" t="s">
        <v>334</v>
      </c>
      <c r="AL26" s="127" t="s">
        <v>364</v>
      </c>
      <c r="AN26" s="127" t="s">
        <v>355</v>
      </c>
      <c r="AO26" s="127" t="s">
        <v>356</v>
      </c>
      <c r="AP26" s="127" t="s">
        <v>334</v>
      </c>
      <c r="AQ26" s="127" t="s">
        <v>364</v>
      </c>
    </row>
    <row r="27" spans="1:44">
      <c r="A27" s="882" t="s">
        <v>350</v>
      </c>
      <c r="B27" s="155" t="s">
        <v>278</v>
      </c>
      <c r="C27" s="1827">
        <v>20</v>
      </c>
      <c r="D27" s="1828">
        <v>46</v>
      </c>
      <c r="E27" s="158">
        <v>2</v>
      </c>
      <c r="F27" s="159">
        <f>IF(SUM(C27:E27)=0,"",SUM(C27:E27))</f>
        <v>68</v>
      </c>
      <c r="G27" s="156">
        <v>6</v>
      </c>
      <c r="H27" s="157">
        <v>4</v>
      </c>
      <c r="I27" s="158">
        <v>0</v>
      </c>
      <c r="J27" s="466">
        <f>IF(SUM(G27:I27)=0,"",SUM(G27:I27))</f>
        <v>10</v>
      </c>
      <c r="K27" s="1827">
        <v>421</v>
      </c>
      <c r="L27" s="1828">
        <v>138</v>
      </c>
      <c r="M27" s="1829">
        <v>6</v>
      </c>
      <c r="N27" s="159">
        <f>IF(SUM(K27:M27)=0,"",SUM(K27:M27))</f>
        <v>565</v>
      </c>
      <c r="O27" s="1827">
        <v>156</v>
      </c>
      <c r="P27" s="1828">
        <v>17</v>
      </c>
      <c r="Q27" s="158">
        <v>0</v>
      </c>
      <c r="R27" s="159">
        <f>IF(SUM(O27:Q27)=0,"",SUM(O27:Q27))</f>
        <v>173</v>
      </c>
      <c r="S27" s="156">
        <v>0</v>
      </c>
      <c r="T27" s="157">
        <v>0</v>
      </c>
      <c r="U27" s="158">
        <v>0</v>
      </c>
      <c r="V27" s="159" t="str">
        <f>IF(SUM(S27:U27)=0,"",SUM(S27:U27))</f>
        <v/>
      </c>
      <c r="W27" s="156">
        <v>1</v>
      </c>
      <c r="X27" s="157">
        <v>0</v>
      </c>
      <c r="Y27" s="158">
        <v>0</v>
      </c>
      <c r="Z27" s="159">
        <f>IF(SUM(W27:Y27)=0,"",SUM(W27:Y27))</f>
        <v>1</v>
      </c>
      <c r="AB27" s="160">
        <v>62</v>
      </c>
      <c r="AC27" s="161">
        <v>7</v>
      </c>
      <c r="AD27" s="162">
        <f>IF(SUM(AB27:AC27)=0,"",SUM(AB27:AC27))</f>
        <v>69</v>
      </c>
      <c r="AF27" s="156"/>
      <c r="AG27" s="163"/>
      <c r="AI27" s="164">
        <f>IF(SUM(F27,N27,V27)=0,"",SUM(F27,N27,V27))</f>
        <v>633</v>
      </c>
      <c r="AJ27" s="165">
        <f>IF(SUM(Z27,R27,J27,)=0,"",SUM(Z27,R27,J27))</f>
        <v>184</v>
      </c>
      <c r="AK27" s="162">
        <f>IF(SUM(AI27:AJ27)=0,"",SUM(AI27:AJ27))</f>
        <v>817</v>
      </c>
      <c r="AL27" s="166">
        <f>IFERROR(AJ27/AK27,"")</f>
        <v>0.2252141982864137</v>
      </c>
      <c r="AN27" s="159">
        <f>F27</f>
        <v>68</v>
      </c>
      <c r="AO27" s="159">
        <f>J27+Z27</f>
        <v>11</v>
      </c>
      <c r="AP27" s="162">
        <f>IF(SUM(AN27:AO27)=0,"",SUM(AN27:AO27))</f>
        <v>79</v>
      </c>
      <c r="AQ27" s="166">
        <f>IFERROR(AO27/AP27,"")</f>
        <v>0.13924050632911392</v>
      </c>
      <c r="AR27" s="450"/>
    </row>
    <row r="28" spans="1:44">
      <c r="A28" t="s">
        <v>365</v>
      </c>
      <c r="B28" s="136" t="s">
        <v>279</v>
      </c>
      <c r="C28" s="167">
        <v>20</v>
      </c>
      <c r="D28" s="168">
        <v>46</v>
      </c>
      <c r="E28" s="169">
        <v>2</v>
      </c>
      <c r="F28" s="170">
        <f t="shared" ref="F28:F38" si="3">IF(SUM(C28:E28)=0,"",SUM(C28:E28))</f>
        <v>68</v>
      </c>
      <c r="G28" s="167">
        <v>4</v>
      </c>
      <c r="H28" s="168">
        <v>4</v>
      </c>
      <c r="I28" s="169">
        <v>0</v>
      </c>
      <c r="J28" s="467">
        <f t="shared" ref="J28:J38" si="4">IF(SUM(G28:I28)=0,"",SUM(G28:I28))</f>
        <v>8</v>
      </c>
      <c r="K28" s="167">
        <v>417</v>
      </c>
      <c r="L28" s="168">
        <v>139</v>
      </c>
      <c r="M28" s="169">
        <v>7</v>
      </c>
      <c r="N28" s="170">
        <f t="shared" ref="N28:N38" si="5">IF(SUM(K28:M28)=0,"",SUM(K28:M28))</f>
        <v>563</v>
      </c>
      <c r="O28" s="167">
        <v>153</v>
      </c>
      <c r="P28" s="168">
        <v>18</v>
      </c>
      <c r="Q28" s="169">
        <v>0</v>
      </c>
      <c r="R28" s="170">
        <f t="shared" ref="R28:R38" si="6">IF(SUM(O28:Q28)=0,"",SUM(O28:Q28))</f>
        <v>171</v>
      </c>
      <c r="S28" s="167">
        <v>0</v>
      </c>
      <c r="T28" s="168">
        <v>0</v>
      </c>
      <c r="U28" s="169">
        <v>0</v>
      </c>
      <c r="V28" s="170" t="str">
        <f t="shared" ref="V28:V38" si="7">IF(SUM(S28:U28)=0,"",SUM(S28:U28))</f>
        <v/>
      </c>
      <c r="W28" s="167">
        <v>1</v>
      </c>
      <c r="X28" s="168">
        <v>0</v>
      </c>
      <c r="Y28" s="169">
        <v>0</v>
      </c>
      <c r="Z28" s="170">
        <f t="shared" ref="Z28:Z38" si="8">IF(SUM(W28:Y28)=0,"",SUM(W28:Y28))</f>
        <v>1</v>
      </c>
      <c r="AB28" s="167">
        <v>62</v>
      </c>
      <c r="AC28" s="171">
        <v>7</v>
      </c>
      <c r="AD28" s="172">
        <f t="shared" ref="AD28:AD37" si="9">IF(SUM(AB28:AC28)=0,"",SUM(AB28:AC28))</f>
        <v>69</v>
      </c>
      <c r="AF28" s="167"/>
      <c r="AG28" s="171"/>
      <c r="AI28" s="173">
        <f t="shared" ref="AI28:AI38" si="10">IF(SUM(F28,N28,V28)=0,"",SUM(F28,N28,V28))</f>
        <v>631</v>
      </c>
      <c r="AJ28" s="174">
        <f t="shared" ref="AJ28:AJ38" si="11">IF(SUM(Z28,R28,J28,)=0,"",SUM(Z28,R28,J28))</f>
        <v>180</v>
      </c>
      <c r="AK28" s="172">
        <f t="shared" ref="AK28:AK38" si="12">IF(SUM(AI28:AJ28)=0,"",SUM(AI28:AJ28))</f>
        <v>811</v>
      </c>
      <c r="AL28" s="175">
        <f t="shared" ref="AL28:AL38" si="13">IFERROR(AJ28/AK28,"")</f>
        <v>0.2219482120838471</v>
      </c>
      <c r="AN28" s="170">
        <f t="shared" ref="AN28:AN38" si="14">F28</f>
        <v>68</v>
      </c>
      <c r="AO28" s="170">
        <f>J28+Z28</f>
        <v>9</v>
      </c>
      <c r="AP28" s="172">
        <f t="shared" ref="AP28:AP38" si="15">IF(SUM(AN28:AO28)=0,"",SUM(AN28:AO28))</f>
        <v>77</v>
      </c>
      <c r="AQ28" s="175">
        <f t="shared" ref="AQ28:AQ38" si="16">IFERROR(AO28/AP28,"")</f>
        <v>0.11688311688311688</v>
      </c>
    </row>
    <row r="29" spans="1:44">
      <c r="B29" s="136" t="s">
        <v>280</v>
      </c>
      <c r="C29" s="167">
        <v>20</v>
      </c>
      <c r="D29" s="168">
        <v>45</v>
      </c>
      <c r="E29" s="169">
        <v>3</v>
      </c>
      <c r="F29" s="170">
        <f>IF(SUM(C29:E29)=0,"",SUM(C29:E29))</f>
        <v>68</v>
      </c>
      <c r="G29" s="167">
        <v>6</v>
      </c>
      <c r="H29" s="168">
        <v>3</v>
      </c>
      <c r="I29" s="169">
        <v>0</v>
      </c>
      <c r="J29" s="467">
        <f>IF(SUM(G29:I29)=0,"",SUM(G29:I29))</f>
        <v>9</v>
      </c>
      <c r="K29" s="167">
        <v>413</v>
      </c>
      <c r="L29" s="168">
        <v>138</v>
      </c>
      <c r="M29" s="169">
        <v>7</v>
      </c>
      <c r="N29" s="170">
        <f t="shared" si="5"/>
        <v>558</v>
      </c>
      <c r="O29" s="167">
        <v>149</v>
      </c>
      <c r="P29" s="168">
        <v>18</v>
      </c>
      <c r="Q29" s="169">
        <v>0</v>
      </c>
      <c r="R29" s="170">
        <f t="shared" si="6"/>
        <v>167</v>
      </c>
      <c r="S29" s="167">
        <v>0</v>
      </c>
      <c r="T29" s="168">
        <v>0</v>
      </c>
      <c r="U29" s="169">
        <v>0</v>
      </c>
      <c r="V29" s="170" t="str">
        <f t="shared" si="7"/>
        <v/>
      </c>
      <c r="W29" s="167">
        <v>0</v>
      </c>
      <c r="X29" s="168">
        <v>0</v>
      </c>
      <c r="Y29" s="169">
        <v>0</v>
      </c>
      <c r="Z29" s="170" t="str">
        <f t="shared" si="8"/>
        <v/>
      </c>
      <c r="AB29" s="167">
        <v>62</v>
      </c>
      <c r="AC29" s="171">
        <v>7</v>
      </c>
      <c r="AD29" s="172">
        <f t="shared" si="9"/>
        <v>69</v>
      </c>
      <c r="AF29" s="167"/>
      <c r="AG29" s="171"/>
      <c r="AI29" s="173">
        <f t="shared" si="10"/>
        <v>626</v>
      </c>
      <c r="AJ29" s="174">
        <f t="shared" si="11"/>
        <v>176</v>
      </c>
      <c r="AK29" s="172">
        <f t="shared" si="12"/>
        <v>802</v>
      </c>
      <c r="AL29" s="175">
        <f t="shared" si="13"/>
        <v>0.21945137157107231</v>
      </c>
      <c r="AN29" s="170">
        <f t="shared" si="14"/>
        <v>68</v>
      </c>
      <c r="AO29" s="170">
        <f t="shared" ref="AO29:AO38" si="17">J29</f>
        <v>9</v>
      </c>
      <c r="AP29" s="172">
        <f t="shared" si="15"/>
        <v>77</v>
      </c>
      <c r="AQ29" s="175">
        <f t="shared" si="16"/>
        <v>0.11688311688311688</v>
      </c>
    </row>
    <row r="30" spans="1:44">
      <c r="B30" s="136" t="s">
        <v>281</v>
      </c>
      <c r="C30" s="167">
        <v>19</v>
      </c>
      <c r="D30" s="168">
        <v>47</v>
      </c>
      <c r="E30" s="169">
        <v>3</v>
      </c>
      <c r="F30" s="170">
        <f t="shared" si="3"/>
        <v>69</v>
      </c>
      <c r="G30" s="167">
        <v>7</v>
      </c>
      <c r="H30" s="168">
        <v>3</v>
      </c>
      <c r="I30" s="169">
        <v>0</v>
      </c>
      <c r="J30" s="467">
        <f t="shared" si="4"/>
        <v>10</v>
      </c>
      <c r="K30" s="167">
        <v>431</v>
      </c>
      <c r="L30" s="168">
        <v>146</v>
      </c>
      <c r="M30" s="169">
        <v>7</v>
      </c>
      <c r="N30" s="170">
        <f t="shared" si="5"/>
        <v>584</v>
      </c>
      <c r="O30" s="167">
        <v>162</v>
      </c>
      <c r="P30" s="168">
        <v>18</v>
      </c>
      <c r="Q30" s="169">
        <v>0</v>
      </c>
      <c r="R30" s="170">
        <f t="shared" si="6"/>
        <v>180</v>
      </c>
      <c r="S30" s="167">
        <v>0</v>
      </c>
      <c r="T30" s="168">
        <v>0</v>
      </c>
      <c r="U30" s="169">
        <v>0</v>
      </c>
      <c r="V30" s="170" t="str">
        <f t="shared" si="7"/>
        <v/>
      </c>
      <c r="W30" s="167">
        <v>0</v>
      </c>
      <c r="X30" s="168">
        <v>0</v>
      </c>
      <c r="Y30" s="169">
        <v>0</v>
      </c>
      <c r="Z30" s="170" t="str">
        <f t="shared" si="8"/>
        <v/>
      </c>
      <c r="AB30" s="167">
        <v>61</v>
      </c>
      <c r="AC30" s="171">
        <v>9</v>
      </c>
      <c r="AD30" s="172">
        <f t="shared" si="9"/>
        <v>70</v>
      </c>
      <c r="AF30" s="167"/>
      <c r="AG30" s="171"/>
      <c r="AI30" s="173">
        <f t="shared" si="10"/>
        <v>653</v>
      </c>
      <c r="AJ30" s="174">
        <f t="shared" si="11"/>
        <v>190</v>
      </c>
      <c r="AK30" s="172">
        <f t="shared" si="12"/>
        <v>843</v>
      </c>
      <c r="AL30" s="175">
        <f t="shared" si="13"/>
        <v>0.22538552787663108</v>
      </c>
      <c r="AN30" s="170">
        <f t="shared" si="14"/>
        <v>69</v>
      </c>
      <c r="AO30" s="170">
        <f t="shared" si="17"/>
        <v>10</v>
      </c>
      <c r="AP30" s="172">
        <f t="shared" si="15"/>
        <v>79</v>
      </c>
      <c r="AQ30" s="175">
        <f t="shared" si="16"/>
        <v>0.12658227848101267</v>
      </c>
    </row>
    <row r="31" spans="1:44">
      <c r="B31" s="136" t="s">
        <v>132</v>
      </c>
      <c r="C31" s="167">
        <v>17</v>
      </c>
      <c r="D31" s="168">
        <v>48</v>
      </c>
      <c r="E31" s="169">
        <v>3</v>
      </c>
      <c r="F31" s="170">
        <f t="shared" si="3"/>
        <v>68</v>
      </c>
      <c r="G31" s="167">
        <v>6</v>
      </c>
      <c r="H31" s="168">
        <v>3</v>
      </c>
      <c r="I31" s="169">
        <v>0</v>
      </c>
      <c r="J31" s="467">
        <f t="shared" si="4"/>
        <v>9</v>
      </c>
      <c r="K31" s="167">
        <v>474</v>
      </c>
      <c r="L31" s="168">
        <v>146</v>
      </c>
      <c r="M31" s="169">
        <v>7</v>
      </c>
      <c r="N31" s="170">
        <f t="shared" si="5"/>
        <v>627</v>
      </c>
      <c r="O31" s="167">
        <v>177</v>
      </c>
      <c r="P31" s="168">
        <v>17</v>
      </c>
      <c r="Q31" s="169">
        <v>0</v>
      </c>
      <c r="R31" s="170">
        <f>IF(SUM(O31:Q31)=0,"",SUM(O31:Q31))</f>
        <v>194</v>
      </c>
      <c r="S31" s="167">
        <v>0</v>
      </c>
      <c r="T31" s="168">
        <v>0</v>
      </c>
      <c r="U31" s="169">
        <v>0</v>
      </c>
      <c r="V31" s="170" t="str">
        <f t="shared" si="7"/>
        <v/>
      </c>
      <c r="W31" s="167">
        <v>0</v>
      </c>
      <c r="X31" s="168">
        <v>0</v>
      </c>
      <c r="Y31" s="169">
        <v>0</v>
      </c>
      <c r="Z31" s="170" t="str">
        <f t="shared" si="8"/>
        <v/>
      </c>
      <c r="AB31" s="167">
        <v>61</v>
      </c>
      <c r="AC31" s="171">
        <v>9</v>
      </c>
      <c r="AD31" s="172">
        <f t="shared" si="9"/>
        <v>70</v>
      </c>
      <c r="AF31" s="167"/>
      <c r="AG31" s="171"/>
      <c r="AI31" s="173">
        <f t="shared" si="10"/>
        <v>695</v>
      </c>
      <c r="AJ31" s="174">
        <f t="shared" si="11"/>
        <v>203</v>
      </c>
      <c r="AK31" s="172">
        <f t="shared" si="12"/>
        <v>898</v>
      </c>
      <c r="AL31" s="175">
        <f t="shared" si="13"/>
        <v>0.22605790645879734</v>
      </c>
      <c r="AN31" s="170">
        <f t="shared" si="14"/>
        <v>68</v>
      </c>
      <c r="AO31" s="170">
        <f t="shared" si="17"/>
        <v>9</v>
      </c>
      <c r="AP31" s="172">
        <f t="shared" si="15"/>
        <v>77</v>
      </c>
      <c r="AQ31" s="175">
        <f t="shared" si="16"/>
        <v>0.11688311688311688</v>
      </c>
    </row>
    <row r="32" spans="1:44">
      <c r="B32" s="136" t="s">
        <v>282</v>
      </c>
      <c r="C32" s="167">
        <v>16</v>
      </c>
      <c r="D32" s="168">
        <v>49</v>
      </c>
      <c r="E32" s="169">
        <v>3</v>
      </c>
      <c r="F32" s="170">
        <f t="shared" si="3"/>
        <v>68</v>
      </c>
      <c r="G32" s="167">
        <v>6</v>
      </c>
      <c r="H32" s="168">
        <v>3</v>
      </c>
      <c r="I32" s="169">
        <v>0</v>
      </c>
      <c r="J32" s="467">
        <f t="shared" si="4"/>
        <v>9</v>
      </c>
      <c r="K32" s="167">
        <v>499</v>
      </c>
      <c r="L32" s="168">
        <v>149</v>
      </c>
      <c r="M32" s="169">
        <v>7</v>
      </c>
      <c r="N32" s="170">
        <f t="shared" si="5"/>
        <v>655</v>
      </c>
      <c r="O32" s="167">
        <v>177</v>
      </c>
      <c r="P32" s="168">
        <v>17</v>
      </c>
      <c r="Q32" s="169">
        <v>0</v>
      </c>
      <c r="R32" s="170">
        <f t="shared" si="6"/>
        <v>194</v>
      </c>
      <c r="S32" s="167">
        <v>0</v>
      </c>
      <c r="T32" s="168">
        <v>0</v>
      </c>
      <c r="U32" s="169">
        <v>0</v>
      </c>
      <c r="V32" s="170" t="str">
        <f t="shared" si="7"/>
        <v/>
      </c>
      <c r="W32" s="167">
        <v>0</v>
      </c>
      <c r="X32" s="168">
        <v>0</v>
      </c>
      <c r="Y32" s="169">
        <v>0</v>
      </c>
      <c r="Z32" s="170" t="str">
        <f t="shared" si="8"/>
        <v/>
      </c>
      <c r="AB32" s="167">
        <v>61</v>
      </c>
      <c r="AC32" s="171">
        <v>9</v>
      </c>
      <c r="AD32" s="172">
        <f t="shared" si="9"/>
        <v>70</v>
      </c>
      <c r="AF32" s="167"/>
      <c r="AG32" s="171"/>
      <c r="AI32" s="173">
        <f t="shared" si="10"/>
        <v>723</v>
      </c>
      <c r="AJ32" s="174">
        <f t="shared" si="11"/>
        <v>203</v>
      </c>
      <c r="AK32" s="172">
        <f t="shared" si="12"/>
        <v>926</v>
      </c>
      <c r="AL32" s="175">
        <f t="shared" si="13"/>
        <v>0.21922246220302377</v>
      </c>
      <c r="AN32" s="170">
        <f t="shared" si="14"/>
        <v>68</v>
      </c>
      <c r="AO32" s="170">
        <f t="shared" si="17"/>
        <v>9</v>
      </c>
      <c r="AP32" s="172">
        <f t="shared" si="15"/>
        <v>77</v>
      </c>
      <c r="AQ32" s="175">
        <f t="shared" si="16"/>
        <v>0.11688311688311688</v>
      </c>
    </row>
    <row r="33" spans="1:43">
      <c r="B33" s="136" t="s">
        <v>283</v>
      </c>
      <c r="C33" s="167">
        <v>17</v>
      </c>
      <c r="D33" s="168">
        <v>49</v>
      </c>
      <c r="E33" s="169">
        <v>3</v>
      </c>
      <c r="F33" s="170">
        <f t="shared" si="3"/>
        <v>69</v>
      </c>
      <c r="G33" s="167">
        <v>7</v>
      </c>
      <c r="H33" s="168">
        <v>3</v>
      </c>
      <c r="I33" s="169">
        <v>0</v>
      </c>
      <c r="J33" s="467">
        <f t="shared" si="4"/>
        <v>10</v>
      </c>
      <c r="K33" s="167">
        <v>447</v>
      </c>
      <c r="L33" s="168">
        <v>148</v>
      </c>
      <c r="M33" s="169">
        <v>6</v>
      </c>
      <c r="N33" s="170">
        <f t="shared" si="5"/>
        <v>601</v>
      </c>
      <c r="O33" s="167">
        <v>165</v>
      </c>
      <c r="P33" s="168">
        <v>16</v>
      </c>
      <c r="Q33" s="169">
        <v>0</v>
      </c>
      <c r="R33" s="170">
        <f t="shared" si="6"/>
        <v>181</v>
      </c>
      <c r="S33" s="167">
        <v>0</v>
      </c>
      <c r="T33" s="168">
        <v>0</v>
      </c>
      <c r="U33" s="169">
        <v>0</v>
      </c>
      <c r="V33" s="170" t="str">
        <f t="shared" si="7"/>
        <v/>
      </c>
      <c r="W33" s="167">
        <v>0</v>
      </c>
      <c r="X33" s="168">
        <v>0</v>
      </c>
      <c r="Y33" s="169">
        <v>0</v>
      </c>
      <c r="Z33" s="170" t="str">
        <f t="shared" si="8"/>
        <v/>
      </c>
      <c r="AB33" s="167">
        <v>44</v>
      </c>
      <c r="AC33" s="171">
        <v>8</v>
      </c>
      <c r="AD33" s="172">
        <f t="shared" si="9"/>
        <v>52</v>
      </c>
      <c r="AF33" s="167"/>
      <c r="AG33" s="171"/>
      <c r="AI33" s="173">
        <f t="shared" si="10"/>
        <v>670</v>
      </c>
      <c r="AJ33" s="174">
        <f t="shared" si="11"/>
        <v>191</v>
      </c>
      <c r="AK33" s="172">
        <f t="shared" si="12"/>
        <v>861</v>
      </c>
      <c r="AL33" s="175">
        <f t="shared" si="13"/>
        <v>0.22183507549361209</v>
      </c>
      <c r="AN33" s="170">
        <f t="shared" si="14"/>
        <v>69</v>
      </c>
      <c r="AO33" s="170">
        <f t="shared" si="17"/>
        <v>10</v>
      </c>
      <c r="AP33" s="172">
        <f t="shared" si="15"/>
        <v>79</v>
      </c>
      <c r="AQ33" s="175">
        <f t="shared" si="16"/>
        <v>0.12658227848101267</v>
      </c>
    </row>
    <row r="34" spans="1:43">
      <c r="B34" s="136" t="s">
        <v>284</v>
      </c>
      <c r="C34" s="167">
        <v>17</v>
      </c>
      <c r="D34" s="168">
        <v>50</v>
      </c>
      <c r="E34" s="169">
        <v>3</v>
      </c>
      <c r="F34" s="170">
        <f t="shared" si="3"/>
        <v>70</v>
      </c>
      <c r="G34" s="167">
        <v>6</v>
      </c>
      <c r="H34" s="168">
        <v>3</v>
      </c>
      <c r="I34" s="169">
        <v>0</v>
      </c>
      <c r="J34" s="170">
        <f t="shared" si="4"/>
        <v>9</v>
      </c>
      <c r="K34" s="167">
        <v>434</v>
      </c>
      <c r="L34" s="168">
        <v>145</v>
      </c>
      <c r="M34" s="169">
        <v>6</v>
      </c>
      <c r="N34" s="170">
        <f t="shared" si="5"/>
        <v>585</v>
      </c>
      <c r="O34" s="167">
        <v>162</v>
      </c>
      <c r="P34" s="168">
        <v>16</v>
      </c>
      <c r="Q34" s="169">
        <v>0</v>
      </c>
      <c r="R34" s="170">
        <f t="shared" si="6"/>
        <v>178</v>
      </c>
      <c r="S34" s="167">
        <v>0</v>
      </c>
      <c r="T34" s="168">
        <v>0</v>
      </c>
      <c r="U34" s="169">
        <v>0</v>
      </c>
      <c r="V34" s="170" t="str">
        <f t="shared" si="7"/>
        <v/>
      </c>
      <c r="W34" s="167">
        <v>0</v>
      </c>
      <c r="X34" s="168">
        <v>0</v>
      </c>
      <c r="Y34" s="169">
        <v>0</v>
      </c>
      <c r="Z34" s="170" t="str">
        <f t="shared" si="8"/>
        <v/>
      </c>
      <c r="AB34" s="167">
        <v>43</v>
      </c>
      <c r="AC34" s="171">
        <v>8</v>
      </c>
      <c r="AD34" s="172">
        <f t="shared" si="9"/>
        <v>51</v>
      </c>
      <c r="AF34" s="167"/>
      <c r="AG34" s="171"/>
      <c r="AI34" s="173">
        <f t="shared" si="10"/>
        <v>655</v>
      </c>
      <c r="AJ34" s="174">
        <f t="shared" si="11"/>
        <v>187</v>
      </c>
      <c r="AK34" s="172">
        <f t="shared" si="12"/>
        <v>842</v>
      </c>
      <c r="AL34" s="175">
        <f t="shared" si="13"/>
        <v>0.22209026128266032</v>
      </c>
      <c r="AN34" s="170">
        <f t="shared" si="14"/>
        <v>70</v>
      </c>
      <c r="AO34" s="170">
        <f t="shared" si="17"/>
        <v>9</v>
      </c>
      <c r="AP34" s="172">
        <f t="shared" si="15"/>
        <v>79</v>
      </c>
      <c r="AQ34" s="175">
        <f t="shared" si="16"/>
        <v>0.11392405063291139</v>
      </c>
    </row>
    <row r="35" spans="1:43">
      <c r="B35" s="136" t="s">
        <v>285</v>
      </c>
      <c r="C35" s="167">
        <v>17</v>
      </c>
      <c r="D35" s="168">
        <v>49</v>
      </c>
      <c r="E35" s="169">
        <v>3</v>
      </c>
      <c r="F35" s="170">
        <f t="shared" si="3"/>
        <v>69</v>
      </c>
      <c r="G35" s="167">
        <v>7</v>
      </c>
      <c r="H35" s="168">
        <v>3</v>
      </c>
      <c r="I35" s="169">
        <v>0</v>
      </c>
      <c r="J35" s="170">
        <f t="shared" si="4"/>
        <v>10</v>
      </c>
      <c r="K35" s="167">
        <v>424</v>
      </c>
      <c r="L35" s="168">
        <v>149</v>
      </c>
      <c r="M35" s="169">
        <v>6</v>
      </c>
      <c r="N35" s="170">
        <f t="shared" si="5"/>
        <v>579</v>
      </c>
      <c r="O35" s="167">
        <v>157</v>
      </c>
      <c r="P35" s="168">
        <v>15</v>
      </c>
      <c r="Q35" s="169">
        <v>0</v>
      </c>
      <c r="R35" s="170">
        <f t="shared" si="6"/>
        <v>172</v>
      </c>
      <c r="S35" s="167">
        <v>0</v>
      </c>
      <c r="T35" s="168">
        <v>0</v>
      </c>
      <c r="U35" s="169">
        <v>0</v>
      </c>
      <c r="V35" s="170" t="str">
        <f t="shared" si="7"/>
        <v/>
      </c>
      <c r="W35" s="167">
        <v>0</v>
      </c>
      <c r="X35" s="168">
        <v>0</v>
      </c>
      <c r="Y35" s="169">
        <v>0</v>
      </c>
      <c r="Z35" s="170" t="str">
        <f t="shared" si="8"/>
        <v/>
      </c>
      <c r="AB35" s="167">
        <v>48</v>
      </c>
      <c r="AC35" s="171">
        <v>9</v>
      </c>
      <c r="AD35" s="172">
        <f t="shared" si="9"/>
        <v>57</v>
      </c>
      <c r="AF35" s="167"/>
      <c r="AG35" s="171"/>
      <c r="AI35" s="173">
        <f t="shared" si="10"/>
        <v>648</v>
      </c>
      <c r="AJ35" s="174">
        <f t="shared" si="11"/>
        <v>182</v>
      </c>
      <c r="AK35" s="172">
        <f t="shared" si="12"/>
        <v>830</v>
      </c>
      <c r="AL35" s="175">
        <f t="shared" si="13"/>
        <v>0.21927710843373494</v>
      </c>
      <c r="AN35" s="170">
        <f t="shared" si="14"/>
        <v>69</v>
      </c>
      <c r="AO35" s="170">
        <f t="shared" si="17"/>
        <v>10</v>
      </c>
      <c r="AP35" s="172">
        <f t="shared" si="15"/>
        <v>79</v>
      </c>
      <c r="AQ35" s="175">
        <f t="shared" si="16"/>
        <v>0.12658227848101267</v>
      </c>
    </row>
    <row r="36" spans="1:43">
      <c r="B36" s="136" t="s">
        <v>286</v>
      </c>
      <c r="C36" s="167">
        <v>18</v>
      </c>
      <c r="D36" s="168">
        <v>46</v>
      </c>
      <c r="E36" s="169">
        <v>3</v>
      </c>
      <c r="F36" s="170">
        <f t="shared" si="3"/>
        <v>67</v>
      </c>
      <c r="G36" s="167">
        <v>7</v>
      </c>
      <c r="H36" s="168">
        <v>3</v>
      </c>
      <c r="I36" s="169">
        <v>0</v>
      </c>
      <c r="J36" s="170">
        <f t="shared" si="4"/>
        <v>10</v>
      </c>
      <c r="K36" s="1830">
        <v>424</v>
      </c>
      <c r="L36" s="168">
        <v>149</v>
      </c>
      <c r="M36" s="1831">
        <v>6</v>
      </c>
      <c r="N36" s="170">
        <f t="shared" si="5"/>
        <v>579</v>
      </c>
      <c r="O36" s="167">
        <v>158</v>
      </c>
      <c r="P36" s="168">
        <v>15</v>
      </c>
      <c r="Q36" s="169">
        <v>0</v>
      </c>
      <c r="R36" s="170">
        <f t="shared" si="6"/>
        <v>173</v>
      </c>
      <c r="S36" s="167">
        <v>0</v>
      </c>
      <c r="T36" s="168">
        <v>0</v>
      </c>
      <c r="U36" s="169">
        <v>0</v>
      </c>
      <c r="V36" s="170" t="str">
        <f t="shared" si="7"/>
        <v/>
      </c>
      <c r="W36" s="167">
        <v>0</v>
      </c>
      <c r="X36" s="168">
        <v>0</v>
      </c>
      <c r="Y36" s="169">
        <v>0</v>
      </c>
      <c r="Z36" s="170" t="str">
        <f t="shared" si="8"/>
        <v/>
      </c>
      <c r="AB36" s="167">
        <v>48</v>
      </c>
      <c r="AC36" s="171">
        <v>9</v>
      </c>
      <c r="AD36" s="172">
        <f t="shared" si="9"/>
        <v>57</v>
      </c>
      <c r="AF36" s="167"/>
      <c r="AG36" s="171"/>
      <c r="AI36" s="173">
        <f t="shared" si="10"/>
        <v>646</v>
      </c>
      <c r="AJ36" s="174">
        <f t="shared" si="11"/>
        <v>183</v>
      </c>
      <c r="AK36" s="172">
        <f t="shared" si="12"/>
        <v>829</v>
      </c>
      <c r="AL36" s="175">
        <f t="shared" si="13"/>
        <v>0.22074788902291917</v>
      </c>
      <c r="AN36" s="170">
        <f t="shared" si="14"/>
        <v>67</v>
      </c>
      <c r="AO36" s="170">
        <f t="shared" si="17"/>
        <v>10</v>
      </c>
      <c r="AP36" s="172">
        <f t="shared" si="15"/>
        <v>77</v>
      </c>
      <c r="AQ36" s="175">
        <f t="shared" si="16"/>
        <v>0.12987012987012986</v>
      </c>
    </row>
    <row r="37" spans="1:43">
      <c r="B37" s="136" t="s">
        <v>287</v>
      </c>
      <c r="C37" s="167">
        <v>19</v>
      </c>
      <c r="D37" s="168">
        <v>47</v>
      </c>
      <c r="E37" s="169">
        <v>3</v>
      </c>
      <c r="F37" s="170">
        <f t="shared" si="3"/>
        <v>69</v>
      </c>
      <c r="G37" s="167">
        <v>7</v>
      </c>
      <c r="H37" s="168">
        <v>3</v>
      </c>
      <c r="I37" s="169">
        <v>0</v>
      </c>
      <c r="J37" s="170">
        <f t="shared" si="4"/>
        <v>10</v>
      </c>
      <c r="K37" s="167">
        <v>404</v>
      </c>
      <c r="L37" s="168">
        <v>153</v>
      </c>
      <c r="M37" s="169">
        <v>6</v>
      </c>
      <c r="N37" s="170">
        <f t="shared" si="5"/>
        <v>563</v>
      </c>
      <c r="O37" s="167">
        <v>157</v>
      </c>
      <c r="P37" s="168">
        <v>15</v>
      </c>
      <c r="Q37" s="169">
        <v>0</v>
      </c>
      <c r="R37" s="170">
        <f t="shared" si="6"/>
        <v>172</v>
      </c>
      <c r="S37" s="167">
        <v>0</v>
      </c>
      <c r="T37" s="168">
        <v>0</v>
      </c>
      <c r="U37" s="169">
        <v>0</v>
      </c>
      <c r="V37" s="170" t="str">
        <f t="shared" si="7"/>
        <v/>
      </c>
      <c r="W37" s="167">
        <v>0</v>
      </c>
      <c r="X37" s="168">
        <v>0</v>
      </c>
      <c r="Y37" s="169">
        <v>0</v>
      </c>
      <c r="Z37" s="170" t="str">
        <f t="shared" si="8"/>
        <v/>
      </c>
      <c r="AB37" s="167">
        <v>48</v>
      </c>
      <c r="AC37" s="171">
        <v>9</v>
      </c>
      <c r="AD37" s="172">
        <f t="shared" si="9"/>
        <v>57</v>
      </c>
      <c r="AF37" s="167"/>
      <c r="AG37" s="171"/>
      <c r="AI37" s="173">
        <f t="shared" si="10"/>
        <v>632</v>
      </c>
      <c r="AJ37" s="174">
        <f t="shared" si="11"/>
        <v>182</v>
      </c>
      <c r="AK37" s="172">
        <f t="shared" si="12"/>
        <v>814</v>
      </c>
      <c r="AL37" s="175">
        <f t="shared" si="13"/>
        <v>0.22358722358722358</v>
      </c>
      <c r="AN37" s="170">
        <f t="shared" si="14"/>
        <v>69</v>
      </c>
      <c r="AO37" s="170">
        <f t="shared" si="17"/>
        <v>10</v>
      </c>
      <c r="AP37" s="172">
        <f t="shared" si="15"/>
        <v>79</v>
      </c>
      <c r="AQ37" s="175">
        <f t="shared" si="16"/>
        <v>0.12658227848101267</v>
      </c>
    </row>
    <row r="38" spans="1:43" ht="18.75" thickBot="1">
      <c r="B38" s="176" t="s">
        <v>288</v>
      </c>
      <c r="C38" s="177">
        <v>19</v>
      </c>
      <c r="D38" s="178">
        <v>48</v>
      </c>
      <c r="E38" s="179">
        <v>4</v>
      </c>
      <c r="F38" s="180">
        <f t="shared" si="3"/>
        <v>71</v>
      </c>
      <c r="G38" s="177">
        <v>6</v>
      </c>
      <c r="H38" s="178">
        <v>3</v>
      </c>
      <c r="I38" s="179">
        <v>0</v>
      </c>
      <c r="J38" s="180">
        <f t="shared" si="4"/>
        <v>9</v>
      </c>
      <c r="K38" s="177">
        <v>397</v>
      </c>
      <c r="L38" s="178">
        <v>154</v>
      </c>
      <c r="M38" s="179">
        <v>7</v>
      </c>
      <c r="N38" s="180">
        <f t="shared" si="5"/>
        <v>558</v>
      </c>
      <c r="O38" s="177">
        <v>151</v>
      </c>
      <c r="P38" s="178">
        <v>15</v>
      </c>
      <c r="Q38" s="179">
        <v>0</v>
      </c>
      <c r="R38" s="180">
        <f t="shared" si="6"/>
        <v>166</v>
      </c>
      <c r="S38" s="177"/>
      <c r="T38" s="178"/>
      <c r="U38" s="179"/>
      <c r="V38" s="180" t="str">
        <f t="shared" si="7"/>
        <v/>
      </c>
      <c r="W38" s="177"/>
      <c r="X38" s="178"/>
      <c r="Y38" s="179"/>
      <c r="Z38" s="180" t="str">
        <f t="shared" si="8"/>
        <v/>
      </c>
      <c r="AB38" s="177">
        <v>48</v>
      </c>
      <c r="AC38" s="181">
        <v>9</v>
      </c>
      <c r="AD38" s="182">
        <v>57</v>
      </c>
      <c r="AF38" s="177"/>
      <c r="AG38" s="181"/>
      <c r="AI38" s="183">
        <f t="shared" si="10"/>
        <v>629</v>
      </c>
      <c r="AJ38" s="184">
        <f t="shared" si="11"/>
        <v>175</v>
      </c>
      <c r="AK38" s="182">
        <f t="shared" si="12"/>
        <v>804</v>
      </c>
      <c r="AL38" s="185">
        <f t="shared" si="13"/>
        <v>0.21766169154228857</v>
      </c>
      <c r="AN38" s="180">
        <f t="shared" si="14"/>
        <v>71</v>
      </c>
      <c r="AO38" s="180">
        <f t="shared" si="17"/>
        <v>9</v>
      </c>
      <c r="AP38" s="182">
        <f t="shared" si="15"/>
        <v>80</v>
      </c>
      <c r="AQ38" s="185">
        <f t="shared" si="16"/>
        <v>0.1125</v>
      </c>
    </row>
    <row r="39" spans="1:43" ht="18.75" thickBot="1">
      <c r="B39" s="149" t="s">
        <v>334</v>
      </c>
      <c r="C39" s="150" cm="1">
        <f t="array" ref="C39">IFERROR(LOOKUP(2,1/(C27:C38&lt;&gt;""),C27:C38),"")</f>
        <v>19</v>
      </c>
      <c r="D39" s="150" cm="1">
        <f t="array" ref="D39">IFERROR(LOOKUP(2,1/(D27:D38&lt;&gt;""),D27:D38),"")</f>
        <v>48</v>
      </c>
      <c r="E39" s="150" cm="1">
        <f t="array" ref="E39">IFERROR(LOOKUP(2,1/(E27:E38&lt;&gt;""),E27:E38),"")</f>
        <v>4</v>
      </c>
      <c r="F39" s="150" cm="1">
        <f t="array" ref="F39">IFERROR(LOOKUP(2,1/(F27:F38&lt;&gt;""),F27:F38),"")</f>
        <v>71</v>
      </c>
      <c r="G39" s="150" cm="1">
        <f t="array" ref="G39">IFERROR(LOOKUP(2,1/(G27:G38&lt;&gt;""),G27:G38),"")</f>
        <v>6</v>
      </c>
      <c r="H39" s="150" cm="1">
        <f t="array" ref="H39">IFERROR(LOOKUP(2,1/(H27:H38&lt;&gt;""),H27:H38),"")</f>
        <v>3</v>
      </c>
      <c r="I39" s="150" cm="1">
        <f t="array" ref="I39">IFERROR(LOOKUP(2,1/(I27:I38&lt;&gt;""),I27:I38),"")</f>
        <v>0</v>
      </c>
      <c r="J39" s="150" cm="1">
        <f t="array" ref="J39">IFERROR(LOOKUP(2,1/(J27:J38&lt;&gt;""),J27:J38),"")</f>
        <v>9</v>
      </c>
      <c r="K39" s="150" cm="1">
        <f t="array" ref="K39">IFERROR(LOOKUP(2,1/(K27:K38&lt;&gt;""),K27:K38),"")</f>
        <v>397</v>
      </c>
      <c r="L39" s="150" cm="1">
        <f t="array" ref="L39">IFERROR(LOOKUP(2,1/(L27:L38&lt;&gt;""),L27:L38),"")</f>
        <v>154</v>
      </c>
      <c r="M39" s="150" cm="1">
        <f t="array" ref="M39">IFERROR(LOOKUP(2,1/(M27:M38&lt;&gt;""),M27:M38),"")</f>
        <v>7</v>
      </c>
      <c r="N39" s="150" cm="1">
        <f t="array" ref="N39">IFERROR(LOOKUP(2,1/(N27:N38&lt;&gt;""),N27:N38),"")</f>
        <v>558</v>
      </c>
      <c r="O39" s="150" cm="1">
        <f t="array" ref="O39">IFERROR(LOOKUP(2,1/(O27:O38&lt;&gt;""),O27:O38),"")</f>
        <v>151</v>
      </c>
      <c r="P39" s="150" cm="1">
        <f t="array" ref="P39">IFERROR(LOOKUP(2,1/(P27:P38&lt;&gt;""),P27:P38),"")</f>
        <v>15</v>
      </c>
      <c r="Q39" s="150" cm="1">
        <f t="array" ref="Q39">IFERROR(LOOKUP(2,1/(Q27:Q38&lt;&gt;""),Q27:Q38),"")</f>
        <v>0</v>
      </c>
      <c r="R39" s="150" cm="1">
        <f t="array" ref="R39">IFERROR(LOOKUP(2,1/(R27:R38&lt;&gt;""),R27:R38),"")</f>
        <v>166</v>
      </c>
      <c r="S39" s="150" cm="1">
        <f t="array" ref="S39">IFERROR(LOOKUP(2,1/(S27:S38&lt;&gt;""),S27:S38),"")</f>
        <v>0</v>
      </c>
      <c r="T39" s="150" cm="1">
        <f t="array" ref="T39">IFERROR(LOOKUP(2,1/(T27:T38&lt;&gt;""),T27:T38),"")</f>
        <v>0</v>
      </c>
      <c r="U39" s="150" cm="1">
        <f t="array" ref="U39">IFERROR(LOOKUP(2,1/(U27:U38&lt;&gt;""),U27:U38),"")</f>
        <v>0</v>
      </c>
      <c r="V39" s="150" t="str" cm="1">
        <f t="array" ref="V39">IFERROR(LOOKUP(2,1/(V27:V38&lt;&gt;""),V27:V38),"")</f>
        <v/>
      </c>
      <c r="W39" s="150" cm="1">
        <f t="array" ref="W39">IFERROR(LOOKUP(2,1/(W27:W38&lt;&gt;""),W27:W38),"")</f>
        <v>0</v>
      </c>
      <c r="X39" s="150" cm="1">
        <f t="array" ref="X39">IFERROR(LOOKUP(2,1/(X27:X38&lt;&gt;""),X27:X38),"")</f>
        <v>0</v>
      </c>
      <c r="Y39" s="150" cm="1">
        <f t="array" ref="Y39">IFERROR(LOOKUP(2,1/(Y27:Y38&lt;&gt;""),Y27:Y38),"")</f>
        <v>0</v>
      </c>
      <c r="Z39" s="150" cm="1">
        <f t="array" ref="Z39">IFERROR(LOOKUP(2,1/(Z27:Z38&lt;&gt;""),Z27:Z38),"")</f>
        <v>1</v>
      </c>
      <c r="AB39" s="150" cm="1">
        <f t="array" ref="AB39">IFERROR(LOOKUP(2,1/(AB27:AB38&lt;&gt;""),AB27:AB38),"")</f>
        <v>48</v>
      </c>
      <c r="AC39" s="150" cm="1">
        <f t="array" ref="AC39">IFERROR(LOOKUP(2,1/(AC27:AC38&lt;&gt;""),AC27:AC38),"")</f>
        <v>9</v>
      </c>
      <c r="AD39" s="186" cm="1">
        <f t="array" ref="AD39">IFERROR(LOOKUP(2,1/(AD27:AD38&lt;&gt;""),AD27:AD38),"")</f>
        <v>57</v>
      </c>
      <c r="AF39" s="150" t="str" cm="1">
        <f t="array" ref="AF39">IFERROR(LOOKUP(2,1/(AF27:AF38&lt;&gt;""),AF27:AF38),"")</f>
        <v/>
      </c>
      <c r="AG39" s="150" t="str">
        <f>IFERROR(LOOKUP(2,1/(AG27:AG38&lt;&gt;""),AG27:AG38),"")</f>
        <v/>
      </c>
      <c r="AI39" s="150" cm="1">
        <f t="array" ref="AI39">IFERROR(LOOKUP(2,1/(AI27:AI38&lt;&gt;""),AI27:AI38),"")</f>
        <v>629</v>
      </c>
      <c r="AJ39" s="150" cm="1">
        <f t="array" ref="AJ39">IFERROR(LOOKUP(2,1/(AJ27:AJ38&lt;&gt;""),AJ27:AJ38),"")</f>
        <v>175</v>
      </c>
      <c r="AK39" s="186" cm="1">
        <f t="array" ref="AK39">IFERROR(LOOKUP(2,1/(AK27:AK38&lt;&gt;""),AK27:AK38),"")</f>
        <v>804</v>
      </c>
      <c r="AL39" s="187" cm="1">
        <f t="array" ref="AL39">IFERROR(LOOKUP(2,1/(AL27:AL38&lt;&gt;""),AL27:AL38),"")</f>
        <v>0.21766169154228857</v>
      </c>
      <c r="AN39" s="150" cm="1">
        <f t="array" ref="AN39">IFERROR(LOOKUP(2,1/(AN27:AN38&lt;&gt;""),AN27:AN38),"")</f>
        <v>71</v>
      </c>
      <c r="AO39" s="150" cm="1">
        <f t="array" ref="AO39">IFERROR(LOOKUP(2,1/(AO27:AO38&lt;&gt;""),AO27:AO38),"")</f>
        <v>9</v>
      </c>
      <c r="AP39" s="186" cm="1">
        <f t="array" ref="AP39">IFERROR(LOOKUP(2,1/(AP27:AP38&lt;&gt;""),AP27:AP38),"")</f>
        <v>80</v>
      </c>
      <c r="AQ39" s="187" cm="1">
        <f t="array" ref="AQ39">IFERROR(LOOKUP(2,1/(AQ27:AQ38&lt;&gt;""),AQ27:AQ38),"")</f>
        <v>0.1125</v>
      </c>
    </row>
    <row r="40" spans="1:43" ht="16.5">
      <c r="B40" s="1937" t="s">
        <v>366</v>
      </c>
      <c r="C40" s="1937"/>
      <c r="D40" s="1937"/>
      <c r="E40" s="1937"/>
      <c r="F40" s="1937"/>
      <c r="G40" s="1937"/>
      <c r="H40" s="1937"/>
      <c r="I40" s="1937"/>
      <c r="AB40" s="1937" t="s">
        <v>367</v>
      </c>
      <c r="AC40" s="1937"/>
      <c r="AD40" s="1937"/>
      <c r="AF40" s="1937" t="s">
        <v>368</v>
      </c>
      <c r="AG40" s="1937"/>
      <c r="AH40" s="1937"/>
    </row>
    <row r="41" spans="1:43" ht="16.5">
      <c r="B41" s="1937"/>
      <c r="C41" s="1937"/>
      <c r="D41" s="1937"/>
      <c r="E41" s="1937"/>
      <c r="F41" s="1937"/>
      <c r="G41" s="1937"/>
      <c r="H41" s="1937"/>
      <c r="I41" s="1937"/>
      <c r="AB41" s="1937"/>
      <c r="AC41" s="1937"/>
      <c r="AD41" s="1937"/>
      <c r="AF41" s="1937"/>
      <c r="AG41" s="1937"/>
      <c r="AH41" s="1937"/>
    </row>
    <row r="42" spans="1:43">
      <c r="AB42" s="1937"/>
      <c r="AC42" s="1937"/>
      <c r="AD42" s="1937"/>
      <c r="AF42" s="1937"/>
      <c r="AG42" s="1937"/>
      <c r="AH42" s="1937"/>
    </row>
    <row r="43" spans="1:43" ht="18.75" thickBot="1">
      <c r="AB43" s="1"/>
      <c r="AC43" s="1"/>
      <c r="AD43" s="1"/>
      <c r="AF43" s="1937"/>
      <c r="AG43" s="1937"/>
      <c r="AH43" s="1937"/>
    </row>
    <row r="44" spans="1:43" ht="21.75" thickBot="1">
      <c r="A44" s="1933">
        <v>2023</v>
      </c>
      <c r="B44" s="1950" t="s">
        <v>369</v>
      </c>
      <c r="C44" s="1951"/>
      <c r="D44" s="1951"/>
      <c r="E44" s="1951"/>
      <c r="F44" s="1951"/>
      <c r="G44" s="1951"/>
      <c r="H44" s="1951"/>
      <c r="I44" s="1951"/>
      <c r="J44" s="1951"/>
      <c r="K44" s="1951"/>
      <c r="L44" s="1951"/>
      <c r="M44" s="1951"/>
      <c r="N44" s="1951"/>
      <c r="O44" s="1951"/>
      <c r="P44" s="1951"/>
      <c r="Q44" s="1951"/>
      <c r="R44" s="1951"/>
      <c r="S44" s="1951"/>
      <c r="T44" s="1951"/>
      <c r="U44" s="1951"/>
      <c r="V44" s="1951"/>
      <c r="W44" s="1951"/>
      <c r="X44" s="1951"/>
      <c r="Y44" s="1952"/>
      <c r="AF44" s="1"/>
      <c r="AG44" s="1"/>
    </row>
    <row r="45" spans="1:43" ht="19.5" thickBot="1">
      <c r="A45" s="1933"/>
      <c r="B45" s="1953" t="s">
        <v>370</v>
      </c>
      <c r="C45" s="1954"/>
      <c r="D45" s="1954"/>
      <c r="E45" s="1954"/>
      <c r="F45" s="1954"/>
      <c r="G45" s="1954"/>
      <c r="H45" s="1954"/>
      <c r="I45" s="1955"/>
      <c r="K45" s="1956" t="s">
        <v>357</v>
      </c>
      <c r="L45" s="1957"/>
      <c r="M45" s="1957"/>
      <c r="N45" s="1957"/>
      <c r="O45" s="1957"/>
      <c r="P45" s="1957"/>
      <c r="Q45" s="1958"/>
      <c r="V45" s="1953" t="s">
        <v>371</v>
      </c>
      <c r="W45" s="1954"/>
      <c r="X45" s="1954"/>
      <c r="Y45" s="1955"/>
    </row>
    <row r="46" spans="1:43" s="154" customFormat="1" ht="40.5" customHeight="1" thickBot="1">
      <c r="B46" s="1948" t="s">
        <v>121</v>
      </c>
      <c r="C46" s="1945" t="s">
        <v>372</v>
      </c>
      <c r="D46" s="1945"/>
      <c r="E46" s="1945"/>
      <c r="F46" s="1945" t="s">
        <v>373</v>
      </c>
      <c r="G46" s="1945"/>
      <c r="H46" s="1945"/>
      <c r="I46" s="1944" t="s">
        <v>374</v>
      </c>
      <c r="K46" s="1945" t="s">
        <v>372</v>
      </c>
      <c r="L46" s="1945"/>
      <c r="M46" s="1945"/>
      <c r="N46" s="1945" t="s">
        <v>373</v>
      </c>
      <c r="O46" s="1945"/>
      <c r="P46" s="1945"/>
      <c r="Q46" s="1944" t="s">
        <v>374</v>
      </c>
      <c r="S46" s="1945" t="s">
        <v>375</v>
      </c>
      <c r="T46" s="1945" t="s">
        <v>376</v>
      </c>
      <c r="V46" s="1946" t="s">
        <v>377</v>
      </c>
      <c r="W46" s="1946" t="s">
        <v>378</v>
      </c>
      <c r="X46" s="1946" t="s">
        <v>379</v>
      </c>
      <c r="Y46" s="1946" t="s">
        <v>380</v>
      </c>
      <c r="Z46" s="129"/>
    </row>
    <row r="47" spans="1:43" s="128" customFormat="1" ht="34.5" customHeight="1">
      <c r="A47" s="880" t="s">
        <v>338</v>
      </c>
      <c r="B47" s="1949"/>
      <c r="C47" s="149" t="s">
        <v>355</v>
      </c>
      <c r="D47" s="149" t="s">
        <v>356</v>
      </c>
      <c r="E47" s="399" t="s">
        <v>334</v>
      </c>
      <c r="F47" s="149" t="s">
        <v>355</v>
      </c>
      <c r="G47" s="149" t="s">
        <v>356</v>
      </c>
      <c r="H47" s="149" t="s">
        <v>334</v>
      </c>
      <c r="I47" s="1944"/>
      <c r="K47" s="127" t="s">
        <v>355</v>
      </c>
      <c r="L47" s="127" t="s">
        <v>356</v>
      </c>
      <c r="M47" s="127" t="s">
        <v>334</v>
      </c>
      <c r="N47" s="127" t="s">
        <v>355</v>
      </c>
      <c r="O47" s="127" t="s">
        <v>356</v>
      </c>
      <c r="P47" s="127" t="s">
        <v>334</v>
      </c>
      <c r="Q47" s="1944"/>
      <c r="S47" s="1945"/>
      <c r="T47" s="1945"/>
      <c r="V47" s="1947"/>
      <c r="W47" s="1947"/>
      <c r="X47" s="1947"/>
      <c r="Y47" s="1964"/>
    </row>
    <row r="48" spans="1:43">
      <c r="A48" s="882" t="s">
        <v>381</v>
      </c>
      <c r="B48" s="155" t="s">
        <v>278</v>
      </c>
      <c r="C48" s="398" t="s">
        <v>382</v>
      </c>
      <c r="D48" s="133" t="s">
        <v>383</v>
      </c>
      <c r="E48" s="188" t="str">
        <f>IF(SUM(C48:D48)=0,"",SUM(C48:D48))</f>
        <v/>
      </c>
      <c r="F48" s="398" t="s">
        <v>383</v>
      </c>
      <c r="G48" s="133" t="s">
        <v>383</v>
      </c>
      <c r="H48" s="188" t="str">
        <f>IF(SUM(F48:G48)=0,"",SUM(F48:G48))</f>
        <v/>
      </c>
      <c r="I48" s="216" t="str">
        <f>IFERROR(H48/AP27,"")</f>
        <v/>
      </c>
      <c r="K48" s="190">
        <v>1205</v>
      </c>
      <c r="L48" s="190">
        <v>557</v>
      </c>
      <c r="M48" s="188">
        <f>IF(SUM(K48:L48)=0,"",SUM(K48:L48))</f>
        <v>1762</v>
      </c>
      <c r="N48" s="190">
        <v>952</v>
      </c>
      <c r="O48" s="190">
        <v>455</v>
      </c>
      <c r="P48" s="188">
        <f>IF(SUM(N48:O48)=0,"",SUM(N48:O48))</f>
        <v>1407</v>
      </c>
      <c r="Q48" s="220">
        <f>IFERROR(P48/(SUM(N27,R27,V27,Z27,AD27)),"")</f>
        <v>1.7413366336633664</v>
      </c>
      <c r="S48" s="159">
        <f>IF(SUM(P48,H48)=0,"",SUM(P48,H48))</f>
        <v>1407</v>
      </c>
      <c r="T48" s="189">
        <f>IFERROR(S48/AK27,"")</f>
        <v>1.7221542227662179</v>
      </c>
      <c r="V48" s="190">
        <v>30</v>
      </c>
      <c r="W48" s="469"/>
      <c r="X48" s="190"/>
      <c r="Y48" s="191">
        <f>IFERROR(X48/V48, "")</f>
        <v>0</v>
      </c>
      <c r="AA48" s="129" t="s">
        <v>384</v>
      </c>
    </row>
    <row r="49" spans="1:27">
      <c r="A49" t="s">
        <v>264</v>
      </c>
      <c r="B49" s="136" t="s">
        <v>279</v>
      </c>
      <c r="C49" s="139" t="s">
        <v>383</v>
      </c>
      <c r="D49" s="137" t="s">
        <v>383</v>
      </c>
      <c r="E49" s="192" t="str">
        <f>IF(SUM(C49:D49)=0,"",SUM(C49:D49))</f>
        <v/>
      </c>
      <c r="F49" s="139" t="s">
        <v>383</v>
      </c>
      <c r="G49" s="137" t="s">
        <v>383</v>
      </c>
      <c r="H49" s="192" t="str">
        <f t="shared" ref="H49:H59" si="18">IF(SUM(F49:G49)=0,"",SUM(F49:G49))</f>
        <v/>
      </c>
      <c r="I49" s="217" t="str">
        <f>IFERROR(H49/AP28,"")</f>
        <v/>
      </c>
      <c r="K49" s="194">
        <v>1434</v>
      </c>
      <c r="L49" s="194">
        <v>1078</v>
      </c>
      <c r="M49" s="192">
        <f t="shared" ref="M49:M59" si="19">IF(SUM(K49:L49)=0,"",SUM(K49:L49))</f>
        <v>2512</v>
      </c>
      <c r="N49" s="194">
        <v>1427</v>
      </c>
      <c r="O49" s="194">
        <v>1020</v>
      </c>
      <c r="P49" s="192">
        <f t="shared" ref="P49:P59" si="20">IF(SUM(N49:O49)=0,"",SUM(N49:O49))</f>
        <v>2447</v>
      </c>
      <c r="Q49" s="221">
        <f t="shared" ref="Q49:Q59" si="21">IFERROR(P49/(SUM(N28,R28,V28,Z28,AD28)),"")</f>
        <v>3.0435323383084576</v>
      </c>
      <c r="S49" s="170">
        <f t="shared" ref="S49:S59" si="22">IF(SUM(P49,H49)=0,"",SUM(P49,H49))</f>
        <v>2447</v>
      </c>
      <c r="T49" s="193">
        <f t="shared" ref="T49:T59" si="23">IFERROR(S49/AK28,"")</f>
        <v>3.0172626387176327</v>
      </c>
      <c r="V49" s="194">
        <v>30</v>
      </c>
      <c r="W49" s="470"/>
      <c r="X49" s="194"/>
      <c r="Y49" s="195">
        <f t="shared" ref="Y49:Y59" si="24">IFERROR(X49/V49, "")</f>
        <v>0</v>
      </c>
      <c r="AA49" s="129" t="s">
        <v>384</v>
      </c>
    </row>
    <row r="50" spans="1:27">
      <c r="B50" s="136" t="s">
        <v>280</v>
      </c>
      <c r="C50" s="139">
        <v>18</v>
      </c>
      <c r="D50" s="137">
        <v>11</v>
      </c>
      <c r="E50" s="192">
        <f t="shared" ref="E50:E59" si="25">IF(SUM(C50:D50)=0,"",SUM(C50:D50))</f>
        <v>29</v>
      </c>
      <c r="F50" s="139">
        <v>14</v>
      </c>
      <c r="G50" s="137">
        <v>8</v>
      </c>
      <c r="H50" s="192">
        <f t="shared" si="18"/>
        <v>22</v>
      </c>
      <c r="I50" s="217">
        <f>IFERROR(H50/AP29,"")</f>
        <v>0.2857142857142857</v>
      </c>
      <c r="K50" s="194">
        <v>995</v>
      </c>
      <c r="L50" s="194">
        <v>618</v>
      </c>
      <c r="M50" s="192">
        <f t="shared" si="19"/>
        <v>1613</v>
      </c>
      <c r="N50" s="194">
        <v>662</v>
      </c>
      <c r="O50" s="194">
        <v>511</v>
      </c>
      <c r="P50" s="192">
        <f t="shared" si="20"/>
        <v>1173</v>
      </c>
      <c r="Q50" s="221">
        <f t="shared" si="21"/>
        <v>1.4773299748110831</v>
      </c>
      <c r="S50" s="170">
        <f t="shared" si="22"/>
        <v>1195</v>
      </c>
      <c r="T50" s="193">
        <f t="shared" si="23"/>
        <v>1.4900249376558603</v>
      </c>
      <c r="V50" s="194">
        <v>30</v>
      </c>
      <c r="W50" s="470"/>
      <c r="X50" s="194"/>
      <c r="Y50" s="195">
        <f>IFERROR(X50/V50, "")</f>
        <v>0</v>
      </c>
      <c r="AA50" s="129" t="s">
        <v>384</v>
      </c>
    </row>
    <row r="51" spans="1:27">
      <c r="B51" s="136" t="s">
        <v>281</v>
      </c>
      <c r="C51" s="139">
        <v>10</v>
      </c>
      <c r="D51" s="137">
        <v>10</v>
      </c>
      <c r="E51" s="192">
        <f t="shared" si="25"/>
        <v>20</v>
      </c>
      <c r="F51" s="139">
        <v>13</v>
      </c>
      <c r="G51" s="137">
        <v>14</v>
      </c>
      <c r="H51" s="192">
        <f t="shared" si="18"/>
        <v>27</v>
      </c>
      <c r="I51" s="217">
        <f t="shared" ref="I51:I59" si="26">IFERROR(H51/AP30,"")</f>
        <v>0.34177215189873417</v>
      </c>
      <c r="K51" s="194">
        <v>1144</v>
      </c>
      <c r="L51" s="194">
        <v>568</v>
      </c>
      <c r="M51" s="192">
        <f t="shared" si="19"/>
        <v>1712</v>
      </c>
      <c r="N51" s="194">
        <v>914</v>
      </c>
      <c r="O51" s="194">
        <v>391</v>
      </c>
      <c r="P51" s="192">
        <f t="shared" si="20"/>
        <v>1305</v>
      </c>
      <c r="Q51" s="221">
        <f t="shared" si="21"/>
        <v>1.564748201438849</v>
      </c>
      <c r="S51" s="170">
        <f t="shared" si="22"/>
        <v>1332</v>
      </c>
      <c r="T51" s="193">
        <f t="shared" si="23"/>
        <v>1.5800711743772242</v>
      </c>
      <c r="V51" s="194">
        <v>30</v>
      </c>
      <c r="W51" s="470">
        <v>4</v>
      </c>
      <c r="X51" s="194">
        <v>4</v>
      </c>
      <c r="Y51" s="195">
        <f t="shared" si="24"/>
        <v>0.13333333333333333</v>
      </c>
      <c r="AA51" s="129" t="s">
        <v>384</v>
      </c>
    </row>
    <row r="52" spans="1:27">
      <c r="B52" s="136" t="s">
        <v>132</v>
      </c>
      <c r="C52" s="139">
        <v>44</v>
      </c>
      <c r="D52" s="137">
        <v>6</v>
      </c>
      <c r="E52" s="192">
        <f t="shared" si="25"/>
        <v>50</v>
      </c>
      <c r="F52" s="139">
        <v>167</v>
      </c>
      <c r="G52" s="137">
        <v>9</v>
      </c>
      <c r="H52" s="192">
        <f t="shared" si="18"/>
        <v>176</v>
      </c>
      <c r="I52" s="217">
        <f t="shared" si="26"/>
        <v>2.2857142857142856</v>
      </c>
      <c r="K52" s="194">
        <v>1467</v>
      </c>
      <c r="L52" s="194">
        <v>783</v>
      </c>
      <c r="M52" s="192">
        <f t="shared" si="19"/>
        <v>2250</v>
      </c>
      <c r="N52" s="194">
        <v>1102</v>
      </c>
      <c r="O52" s="194">
        <v>601</v>
      </c>
      <c r="P52" s="192">
        <f t="shared" si="20"/>
        <v>1703</v>
      </c>
      <c r="Q52" s="221">
        <f t="shared" si="21"/>
        <v>1.9113355780022447</v>
      </c>
      <c r="S52" s="170">
        <f t="shared" si="22"/>
        <v>1879</v>
      </c>
      <c r="T52" s="193">
        <f t="shared" si="23"/>
        <v>2.0924276169265035</v>
      </c>
      <c r="V52" s="194">
        <v>30</v>
      </c>
      <c r="W52" s="470">
        <v>0</v>
      </c>
      <c r="X52" s="194">
        <v>0</v>
      </c>
      <c r="Y52" s="195">
        <f t="shared" si="24"/>
        <v>0</v>
      </c>
      <c r="AA52" s="129" t="s">
        <v>384</v>
      </c>
    </row>
    <row r="53" spans="1:27">
      <c r="B53" s="136" t="s">
        <v>282</v>
      </c>
      <c r="C53" s="139">
        <v>45</v>
      </c>
      <c r="D53" s="137">
        <v>14</v>
      </c>
      <c r="E53" s="192">
        <f t="shared" si="25"/>
        <v>59</v>
      </c>
      <c r="F53" s="139">
        <v>132</v>
      </c>
      <c r="G53" s="137">
        <v>27</v>
      </c>
      <c r="H53" s="192">
        <f t="shared" si="18"/>
        <v>159</v>
      </c>
      <c r="I53" s="217">
        <f t="shared" si="26"/>
        <v>2.0649350649350651</v>
      </c>
      <c r="K53" s="194">
        <v>1815</v>
      </c>
      <c r="L53" s="194">
        <v>642</v>
      </c>
      <c r="M53" s="192">
        <f t="shared" si="19"/>
        <v>2457</v>
      </c>
      <c r="N53" s="194">
        <v>1490</v>
      </c>
      <c r="O53" s="194">
        <v>436</v>
      </c>
      <c r="P53" s="192">
        <f t="shared" si="20"/>
        <v>1926</v>
      </c>
      <c r="Q53" s="221">
        <f t="shared" si="21"/>
        <v>2.0957562568008705</v>
      </c>
      <c r="S53" s="170">
        <f t="shared" si="22"/>
        <v>2085</v>
      </c>
      <c r="T53" s="193">
        <f t="shared" si="23"/>
        <v>2.2516198704103672</v>
      </c>
      <c r="V53" s="194">
        <v>30</v>
      </c>
      <c r="W53" s="470">
        <v>7</v>
      </c>
      <c r="X53" s="194">
        <v>7</v>
      </c>
      <c r="Y53" s="195">
        <f t="shared" si="24"/>
        <v>0.23333333333333334</v>
      </c>
      <c r="AA53" s="129" t="s">
        <v>384</v>
      </c>
    </row>
    <row r="54" spans="1:27">
      <c r="B54" s="136" t="s">
        <v>283</v>
      </c>
      <c r="C54" s="139">
        <v>12</v>
      </c>
      <c r="D54" s="137" t="s">
        <v>383</v>
      </c>
      <c r="E54" s="192">
        <f t="shared" si="25"/>
        <v>12</v>
      </c>
      <c r="F54" s="139">
        <v>12</v>
      </c>
      <c r="G54" s="137" t="s">
        <v>383</v>
      </c>
      <c r="H54" s="192">
        <f t="shared" si="18"/>
        <v>12</v>
      </c>
      <c r="I54" s="217">
        <f t="shared" si="26"/>
        <v>0.15189873417721519</v>
      </c>
      <c r="K54" s="194">
        <v>1701</v>
      </c>
      <c r="L54" s="194">
        <v>518</v>
      </c>
      <c r="M54" s="192">
        <f t="shared" si="19"/>
        <v>2219</v>
      </c>
      <c r="N54" s="194">
        <v>1328</v>
      </c>
      <c r="O54" s="194">
        <v>400</v>
      </c>
      <c r="P54" s="192">
        <f t="shared" si="20"/>
        <v>1728</v>
      </c>
      <c r="Q54" s="221">
        <f t="shared" si="21"/>
        <v>2.0719424460431655</v>
      </c>
      <c r="S54" s="170">
        <f t="shared" si="22"/>
        <v>1740</v>
      </c>
      <c r="T54" s="193">
        <f t="shared" si="23"/>
        <v>2.0209059233449476</v>
      </c>
      <c r="V54" s="194">
        <v>31</v>
      </c>
      <c r="W54" s="470">
        <v>17</v>
      </c>
      <c r="X54" s="194">
        <v>17</v>
      </c>
      <c r="Y54" s="195">
        <f t="shared" si="24"/>
        <v>0.54838709677419351</v>
      </c>
      <c r="AA54" s="129" t="s">
        <v>384</v>
      </c>
    </row>
    <row r="55" spans="1:27">
      <c r="B55" s="136" t="s">
        <v>284</v>
      </c>
      <c r="C55" s="139">
        <v>15</v>
      </c>
      <c r="D55" s="168">
        <v>13</v>
      </c>
      <c r="E55" s="192">
        <f t="shared" si="25"/>
        <v>28</v>
      </c>
      <c r="F55" s="139">
        <v>31</v>
      </c>
      <c r="G55" s="168">
        <v>28</v>
      </c>
      <c r="H55" s="192">
        <f t="shared" si="18"/>
        <v>59</v>
      </c>
      <c r="I55" s="217">
        <f t="shared" si="26"/>
        <v>0.74683544303797467</v>
      </c>
      <c r="K55" s="194">
        <v>2001</v>
      </c>
      <c r="L55" s="468">
        <v>1046</v>
      </c>
      <c r="M55" s="192">
        <f t="shared" si="19"/>
        <v>3047</v>
      </c>
      <c r="N55" s="194">
        <v>1478</v>
      </c>
      <c r="O55" s="468">
        <v>754</v>
      </c>
      <c r="P55" s="192">
        <f t="shared" si="20"/>
        <v>2232</v>
      </c>
      <c r="Q55" s="221">
        <f t="shared" si="21"/>
        <v>2.7420147420147418</v>
      </c>
      <c r="S55" s="170">
        <f t="shared" si="22"/>
        <v>2291</v>
      </c>
      <c r="T55" s="193">
        <f t="shared" si="23"/>
        <v>2.7209026128266034</v>
      </c>
      <c r="V55" s="194">
        <v>30</v>
      </c>
      <c r="W55" s="471">
        <v>6</v>
      </c>
      <c r="X55" s="194">
        <v>6</v>
      </c>
      <c r="Y55" s="195">
        <f t="shared" si="24"/>
        <v>0.2</v>
      </c>
      <c r="AA55" s="129" t="s">
        <v>384</v>
      </c>
    </row>
    <row r="56" spans="1:27">
      <c r="B56" s="136" t="s">
        <v>285</v>
      </c>
      <c r="C56" s="139">
        <v>36</v>
      </c>
      <c r="D56" s="137">
        <v>6</v>
      </c>
      <c r="E56" s="192">
        <f t="shared" si="25"/>
        <v>42</v>
      </c>
      <c r="F56" s="139">
        <v>40</v>
      </c>
      <c r="G56" s="137">
        <v>9</v>
      </c>
      <c r="H56" s="192">
        <f t="shared" si="18"/>
        <v>49</v>
      </c>
      <c r="I56" s="217">
        <f t="shared" si="26"/>
        <v>0.620253164556962</v>
      </c>
      <c r="K56" s="194">
        <v>1954</v>
      </c>
      <c r="L56" s="194">
        <v>906</v>
      </c>
      <c r="M56" s="192">
        <f t="shared" si="19"/>
        <v>2860</v>
      </c>
      <c r="N56" s="194">
        <v>1336</v>
      </c>
      <c r="O56" s="194">
        <v>660</v>
      </c>
      <c r="P56" s="192">
        <f t="shared" si="20"/>
        <v>1996</v>
      </c>
      <c r="Q56" s="221">
        <f t="shared" si="21"/>
        <v>2.4702970297029703</v>
      </c>
      <c r="S56" s="170">
        <f t="shared" si="22"/>
        <v>2045</v>
      </c>
      <c r="T56" s="193">
        <f t="shared" si="23"/>
        <v>2.463855421686747</v>
      </c>
      <c r="V56" s="194">
        <v>30</v>
      </c>
      <c r="W56" s="470">
        <v>0</v>
      </c>
      <c r="X56" s="194">
        <v>0</v>
      </c>
      <c r="Y56" s="195">
        <f t="shared" si="24"/>
        <v>0</v>
      </c>
      <c r="AA56" s="129" t="s">
        <v>384</v>
      </c>
    </row>
    <row r="57" spans="1:27">
      <c r="B57" s="136" t="s">
        <v>286</v>
      </c>
      <c r="C57" s="139">
        <v>19</v>
      </c>
      <c r="D57" s="137">
        <v>8</v>
      </c>
      <c r="E57" s="192">
        <f t="shared" si="25"/>
        <v>27</v>
      </c>
      <c r="F57" s="139">
        <v>19</v>
      </c>
      <c r="G57" s="137">
        <v>8</v>
      </c>
      <c r="H57" s="192">
        <f t="shared" si="18"/>
        <v>27</v>
      </c>
      <c r="I57" s="217">
        <f t="shared" si="26"/>
        <v>0.35064935064935066</v>
      </c>
      <c r="K57" s="194">
        <v>1922</v>
      </c>
      <c r="L57" s="194">
        <v>836</v>
      </c>
      <c r="M57" s="192">
        <f t="shared" si="19"/>
        <v>2758</v>
      </c>
      <c r="N57" s="194">
        <v>1313</v>
      </c>
      <c r="O57" s="194">
        <v>625</v>
      </c>
      <c r="P57" s="192">
        <f t="shared" si="20"/>
        <v>1938</v>
      </c>
      <c r="Q57" s="221">
        <f t="shared" si="21"/>
        <v>2.395550061804697</v>
      </c>
      <c r="S57" s="170">
        <f t="shared" si="22"/>
        <v>1965</v>
      </c>
      <c r="T57" s="193">
        <f t="shared" si="23"/>
        <v>2.3703256936067549</v>
      </c>
      <c r="V57" s="194">
        <v>30</v>
      </c>
      <c r="W57" s="470">
        <v>0</v>
      </c>
      <c r="X57" s="194">
        <v>0</v>
      </c>
      <c r="Y57" s="195">
        <f t="shared" si="24"/>
        <v>0</v>
      </c>
      <c r="AA57" s="129" t="s">
        <v>384</v>
      </c>
    </row>
    <row r="58" spans="1:27">
      <c r="B58" s="136" t="s">
        <v>287</v>
      </c>
      <c r="C58" s="139">
        <v>33</v>
      </c>
      <c r="D58" s="137">
        <v>6</v>
      </c>
      <c r="E58" s="192">
        <f t="shared" si="25"/>
        <v>39</v>
      </c>
      <c r="F58" s="139">
        <v>82</v>
      </c>
      <c r="G58" s="137">
        <v>15</v>
      </c>
      <c r="H58" s="192">
        <f t="shared" si="18"/>
        <v>97</v>
      </c>
      <c r="I58" s="217">
        <f t="shared" si="26"/>
        <v>1.2278481012658229</v>
      </c>
      <c r="K58" s="194">
        <v>2089</v>
      </c>
      <c r="L58" s="194">
        <v>863</v>
      </c>
      <c r="M58" s="192">
        <f t="shared" si="19"/>
        <v>2952</v>
      </c>
      <c r="N58" s="194">
        <v>1456</v>
      </c>
      <c r="O58" s="194">
        <v>611</v>
      </c>
      <c r="P58" s="192">
        <f t="shared" si="20"/>
        <v>2067</v>
      </c>
      <c r="Q58" s="221">
        <f t="shared" si="21"/>
        <v>2.6098484848484849</v>
      </c>
      <c r="S58" s="170">
        <f t="shared" si="22"/>
        <v>2164</v>
      </c>
      <c r="T58" s="193">
        <f t="shared" si="23"/>
        <v>2.6584766584766584</v>
      </c>
      <c r="V58" s="194">
        <v>30</v>
      </c>
      <c r="W58" s="470">
        <v>12</v>
      </c>
      <c r="X58" s="194">
        <v>12</v>
      </c>
      <c r="Y58" s="195">
        <f t="shared" si="24"/>
        <v>0.4</v>
      </c>
      <c r="AA58" s="129" t="s">
        <v>384</v>
      </c>
    </row>
    <row r="59" spans="1:27">
      <c r="B59" s="176" t="s">
        <v>288</v>
      </c>
      <c r="C59" s="401" t="s">
        <v>383</v>
      </c>
      <c r="D59" s="145" t="s">
        <v>383</v>
      </c>
      <c r="E59" s="196" t="str">
        <f t="shared" si="25"/>
        <v/>
      </c>
      <c r="F59" s="401" t="s">
        <v>383</v>
      </c>
      <c r="G59" s="145" t="s">
        <v>383</v>
      </c>
      <c r="H59" s="196" t="str">
        <f t="shared" si="18"/>
        <v/>
      </c>
      <c r="I59" s="218" t="str">
        <f t="shared" si="26"/>
        <v/>
      </c>
      <c r="K59" s="198">
        <v>1284</v>
      </c>
      <c r="L59" s="198">
        <v>496</v>
      </c>
      <c r="M59" s="196">
        <f t="shared" si="19"/>
        <v>1780</v>
      </c>
      <c r="N59" s="198">
        <v>854</v>
      </c>
      <c r="O59" s="198">
        <v>354</v>
      </c>
      <c r="P59" s="196">
        <f t="shared" si="20"/>
        <v>1208</v>
      </c>
      <c r="Q59" s="222">
        <f t="shared" si="21"/>
        <v>1.5467349551856595</v>
      </c>
      <c r="S59" s="180">
        <f t="shared" si="22"/>
        <v>1208</v>
      </c>
      <c r="T59" s="197">
        <f t="shared" si="23"/>
        <v>1.5024875621890548</v>
      </c>
      <c r="V59" s="198">
        <v>30</v>
      </c>
      <c r="W59" s="472">
        <v>0</v>
      </c>
      <c r="X59" s="194">
        <v>0</v>
      </c>
      <c r="Y59" s="199">
        <f t="shared" si="24"/>
        <v>0</v>
      </c>
      <c r="AA59" s="129" t="s">
        <v>384</v>
      </c>
    </row>
    <row r="60" spans="1:27">
      <c r="B60" s="149" t="s">
        <v>334</v>
      </c>
      <c r="C60" s="150">
        <f>IF(SUM(C48:C59)=0,"",SUM(C48:C59))</f>
        <v>232</v>
      </c>
      <c r="D60" s="150">
        <f t="shared" ref="D60:H60" si="27">IF(SUM(D48:D59)=0,"",SUM(D48:D59))</f>
        <v>74</v>
      </c>
      <c r="E60" s="150">
        <f>IF(SUM(E48:E59)=0,"",SUM(E48:E59))</f>
        <v>306</v>
      </c>
      <c r="F60" s="150">
        <f t="shared" si="27"/>
        <v>510</v>
      </c>
      <c r="G60" s="150">
        <f t="shared" si="27"/>
        <v>118</v>
      </c>
      <c r="H60" s="150">
        <f t="shared" si="27"/>
        <v>628</v>
      </c>
      <c r="I60" s="219">
        <f>IF(SUM(I48:I59)=0,"",SUM(I48:I59))</f>
        <v>8.0756205819496945</v>
      </c>
      <c r="K60" s="150">
        <f>IF(SUM(K48:K59)=0,"",SUM(K48:K59))</f>
        <v>19011</v>
      </c>
      <c r="L60" s="150">
        <f t="shared" ref="L60" si="28">IF(SUM(L48:L59)=0,"",SUM(L48:L59))</f>
        <v>8911</v>
      </c>
      <c r="M60" s="150">
        <f t="shared" ref="M60" si="29">IF(SUM(M48:M59)=0,"",SUM(M48:M59))</f>
        <v>27922</v>
      </c>
      <c r="N60" s="150">
        <f t="shared" ref="N60" si="30">IF(SUM(N48:N59)=0,"",SUM(N48:N59))</f>
        <v>14312</v>
      </c>
      <c r="O60" s="150">
        <f t="shared" ref="O60" si="31">IF(SUM(O48:O59)=0,"",SUM(O48:O59))</f>
        <v>6818</v>
      </c>
      <c r="P60" s="150">
        <f t="shared" ref="P60" si="32">IF(SUM(P48:P59)=0,"",SUM(P48:P59))</f>
        <v>21130</v>
      </c>
      <c r="Q60" s="219">
        <f>IF(SUM(Q48:Q59)=0,"",SUM(Q48:Q59))</f>
        <v>25.670426702624589</v>
      </c>
      <c r="S60" s="150">
        <f>IF(SUM(S48:S59)=0,"",SUM(S48:S59))</f>
        <v>21758</v>
      </c>
      <c r="T60" s="151">
        <f>IF(SUM(T48:T59)=0,"",SUM(T48:T59))</f>
        <v>25.890514332984573</v>
      </c>
      <c r="V60" s="150">
        <f>IF(SUM(V48:V59)=0,"",SUM(V48:V59))</f>
        <v>361</v>
      </c>
      <c r="W60" s="150">
        <f>IF(SUM(W48:W59)=0,"",SUM(W48:W59))</f>
        <v>46</v>
      </c>
      <c r="X60" s="150">
        <f>IF(SUM(X48:X59)=0,"",SUM(X48:X59))</f>
        <v>46</v>
      </c>
      <c r="Y60" s="200">
        <f>IFERROR(X60/V60, "")</f>
        <v>0.12742382271468145</v>
      </c>
    </row>
    <row r="62" spans="1:27" ht="18.75" thickBot="1"/>
    <row r="63" spans="1:27" ht="21.75" thickBot="1">
      <c r="A63" s="1933">
        <v>2023</v>
      </c>
      <c r="B63" s="1959" t="s">
        <v>385</v>
      </c>
      <c r="C63" s="1960"/>
      <c r="D63" s="1960"/>
      <c r="E63" s="1960"/>
      <c r="F63" s="1960"/>
      <c r="G63" s="1960"/>
      <c r="H63" s="1960"/>
      <c r="I63" s="1960"/>
      <c r="J63" s="1960"/>
      <c r="K63" s="1960"/>
      <c r="L63" s="1960"/>
      <c r="M63" s="1960"/>
      <c r="N63" s="1960"/>
      <c r="O63" s="1960"/>
      <c r="P63" s="1960"/>
      <c r="Q63" s="1960"/>
      <c r="R63" s="1961"/>
    </row>
    <row r="64" spans="1:27" s="201" customFormat="1" ht="39.75" customHeight="1" thickBot="1">
      <c r="A64" s="1933"/>
      <c r="B64" s="1945" t="s">
        <v>121</v>
      </c>
      <c r="C64" s="1944" t="s">
        <v>386</v>
      </c>
      <c r="D64" s="1944"/>
      <c r="E64" s="1944"/>
      <c r="F64" s="1944"/>
      <c r="G64" s="1944"/>
      <c r="H64" s="1944"/>
      <c r="I64" s="1944"/>
      <c r="J64" s="1944"/>
      <c r="K64" s="1944" t="s">
        <v>353</v>
      </c>
      <c r="L64" s="1944"/>
      <c r="M64" s="1944"/>
      <c r="N64" s="1944"/>
      <c r="O64" s="1944"/>
      <c r="P64" s="1944"/>
      <c r="Q64" s="1944"/>
      <c r="R64" s="1944"/>
    </row>
    <row r="65" spans="1:18" s="201" customFormat="1" ht="18.75" thickBot="1">
      <c r="B65" s="1945"/>
      <c r="C65" s="1945" t="s">
        <v>355</v>
      </c>
      <c r="D65" s="1945"/>
      <c r="E65" s="1945"/>
      <c r="F65" s="1945"/>
      <c r="G65" s="1945" t="s">
        <v>356</v>
      </c>
      <c r="H65" s="1945"/>
      <c r="I65" s="1945"/>
      <c r="J65" s="1945"/>
      <c r="K65" s="1945" t="s">
        <v>355</v>
      </c>
      <c r="L65" s="1945"/>
      <c r="M65" s="1945"/>
      <c r="N65" s="1945"/>
      <c r="O65" s="1945" t="s">
        <v>356</v>
      </c>
      <c r="P65" s="1945"/>
      <c r="Q65" s="1945"/>
      <c r="R65" s="1945"/>
    </row>
    <row r="66" spans="1:18" s="201" customFormat="1" ht="18.75" thickBot="1">
      <c r="A66" s="880" t="s">
        <v>338</v>
      </c>
      <c r="B66" s="1945"/>
      <c r="C66" s="127" t="s">
        <v>360</v>
      </c>
      <c r="D66" s="127" t="s">
        <v>361</v>
      </c>
      <c r="E66" s="127" t="s">
        <v>362</v>
      </c>
      <c r="F66" s="127" t="s">
        <v>363</v>
      </c>
      <c r="G66" s="127" t="s">
        <v>360</v>
      </c>
      <c r="H66" s="127" t="s">
        <v>361</v>
      </c>
      <c r="I66" s="127" t="s">
        <v>362</v>
      </c>
      <c r="J66" s="127" t="s">
        <v>363</v>
      </c>
      <c r="K66" s="127" t="s">
        <v>360</v>
      </c>
      <c r="L66" s="127" t="s">
        <v>361</v>
      </c>
      <c r="M66" s="127" t="s">
        <v>362</v>
      </c>
      <c r="N66" s="127" t="s">
        <v>363</v>
      </c>
      <c r="O66" s="127" t="s">
        <v>360</v>
      </c>
      <c r="P66" s="127" t="s">
        <v>361</v>
      </c>
      <c r="Q66" s="127" t="s">
        <v>362</v>
      </c>
      <c r="R66" s="127" t="s">
        <v>363</v>
      </c>
    </row>
    <row r="67" spans="1:18">
      <c r="A67" s="882" t="s">
        <v>385</v>
      </c>
      <c r="B67" s="130" t="s">
        <v>278</v>
      </c>
      <c r="C67" s="156">
        <v>0</v>
      </c>
      <c r="D67" s="157">
        <v>0</v>
      </c>
      <c r="E67" s="158">
        <v>0</v>
      </c>
      <c r="F67" s="202" t="str">
        <f>IF(SUM(C67:E67)=0,"",SUM(C67:E67))</f>
        <v/>
      </c>
      <c r="G67" s="156">
        <v>1</v>
      </c>
      <c r="H67" s="157">
        <v>0</v>
      </c>
      <c r="I67" s="158">
        <v>0</v>
      </c>
      <c r="J67" s="202">
        <f>IF(SUM(G67:I67)=0,"",SUM(G67:I67))</f>
        <v>1</v>
      </c>
      <c r="K67" s="156">
        <v>19</v>
      </c>
      <c r="L67" s="157">
        <v>2</v>
      </c>
      <c r="M67" s="158">
        <v>1</v>
      </c>
      <c r="N67" s="202">
        <f>IF(SUM(K67:M67)=0,"",SUM(K67:M67))</f>
        <v>22</v>
      </c>
      <c r="O67" s="156">
        <v>3</v>
      </c>
      <c r="P67" s="157">
        <v>0</v>
      </c>
      <c r="Q67" s="158">
        <v>0</v>
      </c>
      <c r="R67" s="202">
        <f>IF(SUM(O67:Q67)=0,"",SUM(O67:Q67))</f>
        <v>3</v>
      </c>
    </row>
    <row r="68" spans="1:18">
      <c r="A68" t="s">
        <v>365</v>
      </c>
      <c r="B68" s="136" t="s">
        <v>279</v>
      </c>
      <c r="C68" s="167">
        <v>1</v>
      </c>
      <c r="D68" s="168">
        <v>1</v>
      </c>
      <c r="E68" s="169">
        <v>0</v>
      </c>
      <c r="F68" s="170">
        <f t="shared" ref="F68:F78" si="33">IF(SUM(C68:E68)=0,"",SUM(C68:E68))</f>
        <v>2</v>
      </c>
      <c r="G68" s="167">
        <v>0</v>
      </c>
      <c r="H68" s="168">
        <v>0</v>
      </c>
      <c r="I68" s="169">
        <v>0</v>
      </c>
      <c r="J68" s="170" t="str">
        <f t="shared" ref="J68:J78" si="34">IF(SUM(G68:I68)=0,"",SUM(G68:I68))</f>
        <v/>
      </c>
      <c r="K68" s="167">
        <v>10</v>
      </c>
      <c r="L68" s="168">
        <v>1</v>
      </c>
      <c r="M68" s="169">
        <v>0</v>
      </c>
      <c r="N68" s="170">
        <f t="shared" ref="N68:N78" si="35">IF(SUM(K68:M68)=0,"",SUM(K68:M68))</f>
        <v>11</v>
      </c>
      <c r="O68" s="167">
        <v>3</v>
      </c>
      <c r="P68" s="168">
        <v>0</v>
      </c>
      <c r="Q68" s="169">
        <v>0</v>
      </c>
      <c r="R68" s="170">
        <f t="shared" ref="R68:R78" si="36">IF(SUM(O68:Q68)=0,"",SUM(O68:Q68))</f>
        <v>3</v>
      </c>
    </row>
    <row r="69" spans="1:18">
      <c r="B69" s="136" t="s">
        <v>280</v>
      </c>
      <c r="C69" s="167">
        <v>0</v>
      </c>
      <c r="D69" s="168">
        <v>1</v>
      </c>
      <c r="E69" s="169">
        <v>1</v>
      </c>
      <c r="F69" s="170">
        <f t="shared" si="33"/>
        <v>2</v>
      </c>
      <c r="G69" s="167">
        <v>3</v>
      </c>
      <c r="H69" s="168">
        <v>0</v>
      </c>
      <c r="I69" s="169">
        <v>0</v>
      </c>
      <c r="J69" s="170">
        <f t="shared" si="34"/>
        <v>3</v>
      </c>
      <c r="K69" s="167">
        <v>7</v>
      </c>
      <c r="L69" s="168">
        <v>0</v>
      </c>
      <c r="M69" s="169">
        <v>0</v>
      </c>
      <c r="N69" s="170">
        <f t="shared" si="35"/>
        <v>7</v>
      </c>
      <c r="O69" s="167">
        <v>0</v>
      </c>
      <c r="P69" s="168">
        <v>0</v>
      </c>
      <c r="Q69" s="169">
        <v>0</v>
      </c>
      <c r="R69" s="170" t="str">
        <f t="shared" si="36"/>
        <v/>
      </c>
    </row>
    <row r="70" spans="1:18">
      <c r="B70" s="136" t="s">
        <v>281</v>
      </c>
      <c r="C70" s="167">
        <v>0</v>
      </c>
      <c r="D70" s="168">
        <v>2</v>
      </c>
      <c r="E70" s="169">
        <v>0</v>
      </c>
      <c r="F70" s="170">
        <f t="shared" si="33"/>
        <v>2</v>
      </c>
      <c r="G70" s="167">
        <v>1</v>
      </c>
      <c r="H70" s="168">
        <v>0</v>
      </c>
      <c r="I70" s="169">
        <v>0</v>
      </c>
      <c r="J70" s="170">
        <f t="shared" si="34"/>
        <v>1</v>
      </c>
      <c r="K70" s="167">
        <v>27</v>
      </c>
      <c r="L70" s="168">
        <v>4</v>
      </c>
      <c r="M70" s="169">
        <v>0</v>
      </c>
      <c r="N70" s="170">
        <f t="shared" si="35"/>
        <v>31</v>
      </c>
      <c r="O70" s="167">
        <v>15</v>
      </c>
      <c r="P70" s="168">
        <v>1</v>
      </c>
      <c r="Q70" s="169">
        <v>0</v>
      </c>
      <c r="R70" s="170">
        <f t="shared" si="36"/>
        <v>16</v>
      </c>
    </row>
    <row r="71" spans="1:18">
      <c r="B71" s="136" t="s">
        <v>132</v>
      </c>
      <c r="C71" s="167">
        <v>0</v>
      </c>
      <c r="D71" s="168">
        <v>0</v>
      </c>
      <c r="E71" s="169">
        <v>0</v>
      </c>
      <c r="F71" s="170" t="str">
        <f t="shared" si="33"/>
        <v/>
      </c>
      <c r="G71" s="167">
        <v>0</v>
      </c>
      <c r="H71" s="168">
        <v>0</v>
      </c>
      <c r="I71" s="169">
        <v>0</v>
      </c>
      <c r="J71" s="170" t="str">
        <f t="shared" si="34"/>
        <v/>
      </c>
      <c r="K71" s="167">
        <v>77</v>
      </c>
      <c r="L71" s="168">
        <v>2</v>
      </c>
      <c r="M71" s="169">
        <v>0</v>
      </c>
      <c r="N71" s="170">
        <f t="shared" si="35"/>
        <v>79</v>
      </c>
      <c r="O71" s="167">
        <v>28</v>
      </c>
      <c r="P71" s="168">
        <v>0</v>
      </c>
      <c r="Q71" s="169">
        <v>0</v>
      </c>
      <c r="R71" s="170">
        <f t="shared" si="36"/>
        <v>28</v>
      </c>
    </row>
    <row r="72" spans="1:18">
      <c r="B72" s="136" t="s">
        <v>282</v>
      </c>
      <c r="C72" s="167">
        <v>2</v>
      </c>
      <c r="D72" s="168">
        <v>0</v>
      </c>
      <c r="E72" s="169">
        <v>0</v>
      </c>
      <c r="F72" s="170">
        <f t="shared" si="33"/>
        <v>2</v>
      </c>
      <c r="G72" s="167">
        <v>0</v>
      </c>
      <c r="H72" s="168">
        <v>0</v>
      </c>
      <c r="I72" s="169">
        <v>0</v>
      </c>
      <c r="J72" s="170" t="str">
        <f t="shared" si="34"/>
        <v/>
      </c>
      <c r="K72" s="167">
        <v>60</v>
      </c>
      <c r="L72" s="168">
        <v>1</v>
      </c>
      <c r="M72" s="169">
        <v>0</v>
      </c>
      <c r="N72" s="170">
        <f t="shared" si="35"/>
        <v>61</v>
      </c>
      <c r="O72" s="167">
        <v>5</v>
      </c>
      <c r="P72" s="168">
        <v>0</v>
      </c>
      <c r="Q72" s="169">
        <v>0</v>
      </c>
      <c r="R72" s="170">
        <f t="shared" si="36"/>
        <v>5</v>
      </c>
    </row>
    <row r="73" spans="1:18">
      <c r="B73" s="136" t="s">
        <v>283</v>
      </c>
      <c r="C73" s="167">
        <v>1</v>
      </c>
      <c r="D73" s="168">
        <v>0</v>
      </c>
      <c r="E73" s="169">
        <v>0</v>
      </c>
      <c r="F73" s="170">
        <f t="shared" si="33"/>
        <v>1</v>
      </c>
      <c r="G73" s="167">
        <v>1</v>
      </c>
      <c r="H73" s="168">
        <v>0</v>
      </c>
      <c r="I73" s="169">
        <v>0</v>
      </c>
      <c r="J73" s="170">
        <f t="shared" si="34"/>
        <v>1</v>
      </c>
      <c r="K73" s="167">
        <v>10</v>
      </c>
      <c r="L73" s="168">
        <v>1</v>
      </c>
      <c r="M73" s="169">
        <v>0</v>
      </c>
      <c r="N73" s="170">
        <f t="shared" si="35"/>
        <v>11</v>
      </c>
      <c r="O73" s="167">
        <v>6</v>
      </c>
      <c r="P73" s="168">
        <v>0</v>
      </c>
      <c r="Q73" s="169">
        <v>0</v>
      </c>
      <c r="R73" s="170">
        <f t="shared" si="36"/>
        <v>6</v>
      </c>
    </row>
    <row r="74" spans="1:18">
      <c r="B74" s="136" t="s">
        <v>284</v>
      </c>
      <c r="C74" s="167">
        <v>1</v>
      </c>
      <c r="D74" s="168">
        <v>1</v>
      </c>
      <c r="E74" s="169">
        <v>0</v>
      </c>
      <c r="F74" s="170">
        <f t="shared" si="33"/>
        <v>2</v>
      </c>
      <c r="G74" s="167">
        <v>0</v>
      </c>
      <c r="H74" s="168">
        <v>0</v>
      </c>
      <c r="I74" s="169">
        <v>0</v>
      </c>
      <c r="J74" s="170" t="str">
        <f t="shared" si="34"/>
        <v/>
      </c>
      <c r="K74" s="167">
        <v>11</v>
      </c>
      <c r="L74" s="168">
        <v>1</v>
      </c>
      <c r="M74" s="169">
        <v>0</v>
      </c>
      <c r="N74" s="170">
        <f t="shared" si="35"/>
        <v>12</v>
      </c>
      <c r="O74" s="167">
        <v>4</v>
      </c>
      <c r="P74" s="168">
        <v>1</v>
      </c>
      <c r="Q74" s="169">
        <v>0</v>
      </c>
      <c r="R74" s="170">
        <f t="shared" si="36"/>
        <v>5</v>
      </c>
    </row>
    <row r="75" spans="1:18">
      <c r="B75" s="136" t="s">
        <v>285</v>
      </c>
      <c r="C75" s="167">
        <v>0</v>
      </c>
      <c r="D75" s="168">
        <v>1</v>
      </c>
      <c r="E75" s="169">
        <v>0</v>
      </c>
      <c r="F75" s="170">
        <f t="shared" si="33"/>
        <v>1</v>
      </c>
      <c r="G75" s="167">
        <v>1</v>
      </c>
      <c r="H75" s="168">
        <v>0</v>
      </c>
      <c r="I75" s="169">
        <v>0</v>
      </c>
      <c r="J75" s="170">
        <f t="shared" si="34"/>
        <v>1</v>
      </c>
      <c r="K75" s="167">
        <v>8</v>
      </c>
      <c r="L75" s="168">
        <v>2</v>
      </c>
      <c r="M75" s="169">
        <v>0</v>
      </c>
      <c r="N75" s="170">
        <f t="shared" si="35"/>
        <v>10</v>
      </c>
      <c r="O75" s="167">
        <v>3</v>
      </c>
      <c r="P75" s="168">
        <v>0</v>
      </c>
      <c r="Q75" s="169">
        <v>0</v>
      </c>
      <c r="R75" s="170">
        <f t="shared" si="36"/>
        <v>3</v>
      </c>
    </row>
    <row r="76" spans="1:18">
      <c r="B76" s="136" t="s">
        <v>286</v>
      </c>
      <c r="C76" s="167">
        <v>1</v>
      </c>
      <c r="D76" s="168">
        <v>0</v>
      </c>
      <c r="E76" s="169">
        <v>0</v>
      </c>
      <c r="F76" s="170">
        <f t="shared" si="33"/>
        <v>1</v>
      </c>
      <c r="G76" s="167">
        <v>0</v>
      </c>
      <c r="H76" s="168">
        <v>0</v>
      </c>
      <c r="I76" s="169">
        <v>0</v>
      </c>
      <c r="J76" s="170" t="str">
        <f t="shared" si="34"/>
        <v/>
      </c>
      <c r="K76" s="167">
        <v>15</v>
      </c>
      <c r="L76" s="168">
        <v>1</v>
      </c>
      <c r="M76" s="169">
        <v>0</v>
      </c>
      <c r="N76" s="170">
        <f t="shared" si="35"/>
        <v>16</v>
      </c>
      <c r="O76" s="167">
        <v>1</v>
      </c>
      <c r="P76" s="168">
        <v>0</v>
      </c>
      <c r="Q76" s="169">
        <v>0</v>
      </c>
      <c r="R76" s="170">
        <f t="shared" si="36"/>
        <v>1</v>
      </c>
    </row>
    <row r="77" spans="1:18">
      <c r="B77" s="136" t="s">
        <v>287</v>
      </c>
      <c r="C77" s="167">
        <v>0</v>
      </c>
      <c r="D77" s="168">
        <v>1</v>
      </c>
      <c r="E77" s="169">
        <v>0</v>
      </c>
      <c r="F77" s="170">
        <f t="shared" si="33"/>
        <v>1</v>
      </c>
      <c r="G77" s="167">
        <v>0</v>
      </c>
      <c r="H77" s="168">
        <v>0</v>
      </c>
      <c r="I77" s="169">
        <v>0</v>
      </c>
      <c r="J77" s="170" t="str">
        <f t="shared" si="34"/>
        <v/>
      </c>
      <c r="K77" s="167">
        <v>3</v>
      </c>
      <c r="L77" s="168">
        <v>0</v>
      </c>
      <c r="M77" s="169">
        <v>0</v>
      </c>
      <c r="N77" s="170">
        <f t="shared" si="35"/>
        <v>3</v>
      </c>
      <c r="O77" s="167">
        <v>1</v>
      </c>
      <c r="P77" s="168">
        <v>0</v>
      </c>
      <c r="Q77" s="169">
        <v>0</v>
      </c>
      <c r="R77" s="170">
        <f t="shared" si="36"/>
        <v>1</v>
      </c>
    </row>
    <row r="78" spans="1:18" ht="18.75" thickBot="1">
      <c r="B78" s="142" t="s">
        <v>288</v>
      </c>
      <c r="C78" s="1760">
        <v>0</v>
      </c>
      <c r="D78" s="1761">
        <v>2</v>
      </c>
      <c r="E78" s="1761">
        <v>0</v>
      </c>
      <c r="F78" s="203">
        <f t="shared" si="33"/>
        <v>2</v>
      </c>
      <c r="G78" s="177">
        <v>0</v>
      </c>
      <c r="H78" s="178">
        <v>0</v>
      </c>
      <c r="I78" s="179">
        <v>0</v>
      </c>
      <c r="J78" s="203" t="str">
        <f t="shared" si="34"/>
        <v/>
      </c>
      <c r="K78" s="1760">
        <v>2</v>
      </c>
      <c r="L78" s="1761">
        <v>0</v>
      </c>
      <c r="M78" s="1761">
        <v>0</v>
      </c>
      <c r="N78" s="203">
        <f t="shared" si="35"/>
        <v>2</v>
      </c>
      <c r="O78" s="177">
        <v>0</v>
      </c>
      <c r="P78" s="178">
        <v>0</v>
      </c>
      <c r="Q78" s="179">
        <v>0</v>
      </c>
      <c r="R78" s="203" t="str">
        <f t="shared" si="36"/>
        <v/>
      </c>
    </row>
    <row r="79" spans="1:18" ht="18.75" thickBot="1">
      <c r="B79" s="149" t="s">
        <v>334</v>
      </c>
      <c r="C79" s="150">
        <f>IF(SUM(C67:C78)=0,"",SUM(C67:C78))</f>
        <v>6</v>
      </c>
      <c r="D79" s="150">
        <f t="shared" ref="D79:R79" si="37">IF(SUM(D67:D78)=0,"",SUM(D67:D78))</f>
        <v>9</v>
      </c>
      <c r="E79" s="150">
        <f t="shared" si="37"/>
        <v>1</v>
      </c>
      <c r="F79" s="150">
        <f t="shared" si="37"/>
        <v>16</v>
      </c>
      <c r="G79" s="150">
        <f t="shared" si="37"/>
        <v>7</v>
      </c>
      <c r="H79" s="150" t="str">
        <f t="shared" si="37"/>
        <v/>
      </c>
      <c r="I79" s="150" t="str">
        <f t="shared" si="37"/>
        <v/>
      </c>
      <c r="J79" s="150">
        <f t="shared" si="37"/>
        <v>7</v>
      </c>
      <c r="K79" s="150">
        <f t="shared" si="37"/>
        <v>249</v>
      </c>
      <c r="L79" s="150">
        <f t="shared" si="37"/>
        <v>15</v>
      </c>
      <c r="M79" s="150">
        <f t="shared" si="37"/>
        <v>1</v>
      </c>
      <c r="N79" s="150">
        <f t="shared" si="37"/>
        <v>265</v>
      </c>
      <c r="O79" s="150">
        <f t="shared" si="37"/>
        <v>69</v>
      </c>
      <c r="P79" s="150">
        <f t="shared" si="37"/>
        <v>2</v>
      </c>
      <c r="Q79" s="150" t="str">
        <f t="shared" si="37"/>
        <v/>
      </c>
      <c r="R79" s="150">
        <f t="shared" si="37"/>
        <v>71</v>
      </c>
    </row>
    <row r="81" spans="1:18" ht="18.75" thickBot="1"/>
    <row r="82" spans="1:18" ht="21.75" thickBot="1">
      <c r="A82" s="1933">
        <v>2023</v>
      </c>
      <c r="B82" s="1959" t="s">
        <v>387</v>
      </c>
      <c r="C82" s="1960"/>
      <c r="D82" s="1960"/>
      <c r="E82" s="1960"/>
      <c r="F82" s="1960"/>
      <c r="G82" s="1960"/>
      <c r="H82" s="1960"/>
      <c r="I82" s="1960"/>
      <c r="J82" s="1960"/>
      <c r="K82" s="1960"/>
      <c r="L82" s="1960"/>
      <c r="M82" s="1960"/>
      <c r="N82" s="1960"/>
      <c r="O82" s="1960"/>
      <c r="P82" s="1960"/>
      <c r="Q82" s="1960"/>
      <c r="R82" s="1961"/>
    </row>
    <row r="83" spans="1:18" s="154" customFormat="1" ht="31.5" customHeight="1" thickBot="1">
      <c r="A83" s="1933"/>
      <c r="B83" s="1945" t="s">
        <v>121</v>
      </c>
      <c r="C83" s="1962" t="s">
        <v>386</v>
      </c>
      <c r="D83" s="1944"/>
      <c r="E83" s="1944"/>
      <c r="F83" s="1944"/>
      <c r="G83" s="1944"/>
      <c r="H83" s="1944"/>
      <c r="I83" s="1944"/>
      <c r="J83" s="1944"/>
      <c r="K83" s="1944" t="s">
        <v>353</v>
      </c>
      <c r="L83" s="1944"/>
      <c r="M83" s="1944"/>
      <c r="N83" s="1944"/>
      <c r="O83" s="1944"/>
      <c r="P83" s="1944"/>
      <c r="Q83" s="1944"/>
      <c r="R83" s="1944"/>
    </row>
    <row r="84" spans="1:18" s="154" customFormat="1" ht="18.75" thickBot="1">
      <c r="B84" s="1945"/>
      <c r="C84" s="1963" t="s">
        <v>355</v>
      </c>
      <c r="D84" s="1945"/>
      <c r="E84" s="1945"/>
      <c r="F84" s="1945"/>
      <c r="G84" s="1945" t="s">
        <v>356</v>
      </c>
      <c r="H84" s="1945"/>
      <c r="I84" s="1945"/>
      <c r="J84" s="1945"/>
      <c r="K84" s="1945" t="s">
        <v>355</v>
      </c>
      <c r="L84" s="1945"/>
      <c r="M84" s="1945"/>
      <c r="N84" s="1945"/>
      <c r="O84" s="1945" t="s">
        <v>356</v>
      </c>
      <c r="P84" s="1945"/>
      <c r="Q84" s="1945"/>
      <c r="R84" s="1945"/>
    </row>
    <row r="85" spans="1:18" s="154" customFormat="1" ht="18.75" thickBot="1">
      <c r="A85" s="880" t="s">
        <v>338</v>
      </c>
      <c r="B85" s="1945"/>
      <c r="C85" s="204" t="s">
        <v>360</v>
      </c>
      <c r="D85" s="127" t="s">
        <v>361</v>
      </c>
      <c r="E85" s="127" t="s">
        <v>362</v>
      </c>
      <c r="F85" s="127" t="s">
        <v>363</v>
      </c>
      <c r="G85" s="127" t="s">
        <v>360</v>
      </c>
      <c r="H85" s="127" t="s">
        <v>361</v>
      </c>
      <c r="I85" s="127" t="s">
        <v>362</v>
      </c>
      <c r="J85" s="127" t="s">
        <v>363</v>
      </c>
      <c r="K85" s="127" t="s">
        <v>360</v>
      </c>
      <c r="L85" s="127" t="s">
        <v>361</v>
      </c>
      <c r="M85" s="127" t="s">
        <v>362</v>
      </c>
      <c r="N85" s="127" t="s">
        <v>363</v>
      </c>
      <c r="O85" s="127" t="s">
        <v>360</v>
      </c>
      <c r="P85" s="127" t="s">
        <v>361</v>
      </c>
      <c r="Q85" s="127" t="s">
        <v>362</v>
      </c>
      <c r="R85" s="127" t="s">
        <v>363</v>
      </c>
    </row>
    <row r="86" spans="1:18">
      <c r="A86" s="882" t="s">
        <v>387</v>
      </c>
      <c r="B86" s="130" t="s">
        <v>278</v>
      </c>
      <c r="C86" s="156">
        <v>1</v>
      </c>
      <c r="D86" s="157">
        <v>0</v>
      </c>
      <c r="E86" s="158">
        <v>0</v>
      </c>
      <c r="F86" s="202">
        <f>IF(SUM(C86:E86)=0,"",SUM(C86:E86))</f>
        <v>1</v>
      </c>
      <c r="G86" s="156">
        <v>0</v>
      </c>
      <c r="H86" s="157">
        <v>0</v>
      </c>
      <c r="I86" s="158">
        <v>0</v>
      </c>
      <c r="J86" s="202" t="str">
        <f>IF(SUM(G86:I86)=0,"",SUM(G86:I86))</f>
        <v/>
      </c>
      <c r="K86" s="156">
        <v>19</v>
      </c>
      <c r="L86" s="157">
        <v>1</v>
      </c>
      <c r="M86" s="158">
        <v>0</v>
      </c>
      <c r="N86" s="202">
        <f>IF(SUM(K86:M86)=0,"",SUM(K86:M86))</f>
        <v>20</v>
      </c>
      <c r="O86" s="156">
        <v>4</v>
      </c>
      <c r="P86" s="157">
        <v>0</v>
      </c>
      <c r="Q86" s="158">
        <v>0</v>
      </c>
      <c r="R86" s="202">
        <f>IF(SUM(O86:Q86)=0,"",SUM(O86:Q86))</f>
        <v>4</v>
      </c>
    </row>
    <row r="87" spans="1:18">
      <c r="A87" t="s">
        <v>365</v>
      </c>
      <c r="B87" s="136" t="s">
        <v>279</v>
      </c>
      <c r="C87" s="1830">
        <v>1</v>
      </c>
      <c r="D87" s="1832">
        <v>2</v>
      </c>
      <c r="E87" s="169">
        <v>0</v>
      </c>
      <c r="F87" s="170">
        <f t="shared" ref="F87:F97" si="38">IF(SUM(C87:E87)=0,"",SUM(C87:E87))</f>
        <v>3</v>
      </c>
      <c r="G87" s="167">
        <v>2</v>
      </c>
      <c r="H87" s="168">
        <v>0</v>
      </c>
      <c r="I87" s="169">
        <v>0</v>
      </c>
      <c r="J87" s="170">
        <f t="shared" ref="J87:J97" si="39">IF(SUM(G87:I87)=0,"",SUM(G87:I87))</f>
        <v>2</v>
      </c>
      <c r="K87" s="167">
        <v>9</v>
      </c>
      <c r="L87" s="1832">
        <v>3</v>
      </c>
      <c r="M87" s="169">
        <v>0</v>
      </c>
      <c r="N87" s="170">
        <f t="shared" ref="N87:N97" si="40">IF(SUM(K87:M87)=0,"",SUM(K87:M87))</f>
        <v>12</v>
      </c>
      <c r="O87" s="167">
        <v>5</v>
      </c>
      <c r="P87" s="168">
        <v>0</v>
      </c>
      <c r="Q87" s="169">
        <v>0</v>
      </c>
      <c r="R87" s="170">
        <f t="shared" ref="R87:R97" si="41">IF(SUM(O87:Q87)=0,"",SUM(O87:Q87))</f>
        <v>5</v>
      </c>
    </row>
    <row r="88" spans="1:18">
      <c r="B88" s="136" t="s">
        <v>280</v>
      </c>
      <c r="C88" s="167">
        <v>0</v>
      </c>
      <c r="D88" s="168">
        <v>2</v>
      </c>
      <c r="E88" s="169">
        <v>0</v>
      </c>
      <c r="F88" s="170">
        <f t="shared" si="38"/>
        <v>2</v>
      </c>
      <c r="G88" s="167">
        <v>1</v>
      </c>
      <c r="H88" s="168">
        <v>1</v>
      </c>
      <c r="I88" s="169">
        <v>0</v>
      </c>
      <c r="J88" s="170">
        <f t="shared" si="39"/>
        <v>2</v>
      </c>
      <c r="K88" s="167">
        <v>9</v>
      </c>
      <c r="L88" s="168">
        <v>3</v>
      </c>
      <c r="M88" s="169">
        <v>0</v>
      </c>
      <c r="N88" s="170">
        <f t="shared" si="40"/>
        <v>12</v>
      </c>
      <c r="O88" s="167">
        <v>3</v>
      </c>
      <c r="P88" s="168">
        <v>1</v>
      </c>
      <c r="Q88" s="169">
        <v>0</v>
      </c>
      <c r="R88" s="170">
        <f t="shared" si="41"/>
        <v>4</v>
      </c>
    </row>
    <row r="89" spans="1:18">
      <c r="B89" s="136" t="s">
        <v>281</v>
      </c>
      <c r="C89" s="167">
        <v>0</v>
      </c>
      <c r="D89" s="1832">
        <v>1</v>
      </c>
      <c r="E89" s="169">
        <v>0</v>
      </c>
      <c r="F89" s="170">
        <f t="shared" si="38"/>
        <v>1</v>
      </c>
      <c r="G89" s="167">
        <v>0</v>
      </c>
      <c r="H89" s="168">
        <v>0</v>
      </c>
      <c r="I89" s="169">
        <v>0</v>
      </c>
      <c r="J89" s="170" t="str">
        <f t="shared" si="39"/>
        <v/>
      </c>
      <c r="K89" s="167">
        <v>6</v>
      </c>
      <c r="L89" s="1832">
        <v>0</v>
      </c>
      <c r="M89" s="169">
        <v>0</v>
      </c>
      <c r="N89" s="170">
        <f t="shared" si="40"/>
        <v>6</v>
      </c>
      <c r="O89" s="167">
        <v>2</v>
      </c>
      <c r="P89" s="168">
        <v>0</v>
      </c>
      <c r="Q89" s="169">
        <v>0</v>
      </c>
      <c r="R89" s="170">
        <f t="shared" si="41"/>
        <v>2</v>
      </c>
    </row>
    <row r="90" spans="1:18">
      <c r="B90" s="136" t="s">
        <v>132</v>
      </c>
      <c r="C90" s="167">
        <v>0</v>
      </c>
      <c r="D90" s="1832">
        <v>1</v>
      </c>
      <c r="E90" s="169">
        <v>0</v>
      </c>
      <c r="F90" s="170">
        <f t="shared" si="38"/>
        <v>1</v>
      </c>
      <c r="G90" s="1830">
        <v>1</v>
      </c>
      <c r="H90" s="168">
        <v>0</v>
      </c>
      <c r="I90" s="169">
        <v>0</v>
      </c>
      <c r="J90" s="170">
        <f t="shared" si="39"/>
        <v>1</v>
      </c>
      <c r="K90" s="167">
        <v>32</v>
      </c>
      <c r="L90" s="1832">
        <v>4</v>
      </c>
      <c r="M90" s="169">
        <v>0</v>
      </c>
      <c r="N90" s="170">
        <f t="shared" si="40"/>
        <v>36</v>
      </c>
      <c r="O90" s="1830">
        <v>12</v>
      </c>
      <c r="P90" s="168">
        <v>2</v>
      </c>
      <c r="Q90" s="169">
        <v>0</v>
      </c>
      <c r="R90" s="170">
        <f t="shared" si="41"/>
        <v>14</v>
      </c>
    </row>
    <row r="91" spans="1:18">
      <c r="B91" s="136" t="s">
        <v>282</v>
      </c>
      <c r="C91" s="167">
        <v>2</v>
      </c>
      <c r="D91" s="168">
        <v>0</v>
      </c>
      <c r="E91" s="169">
        <v>0</v>
      </c>
      <c r="F91" s="170">
        <f t="shared" si="38"/>
        <v>2</v>
      </c>
      <c r="G91" s="167">
        <v>0</v>
      </c>
      <c r="H91" s="168">
        <v>0</v>
      </c>
      <c r="I91" s="169">
        <v>0</v>
      </c>
      <c r="J91" s="170" t="str">
        <f t="shared" si="39"/>
        <v/>
      </c>
      <c r="K91" s="167">
        <v>30</v>
      </c>
      <c r="L91" s="168">
        <v>2</v>
      </c>
      <c r="M91" s="169">
        <v>0</v>
      </c>
      <c r="N91" s="170">
        <f t="shared" si="40"/>
        <v>32</v>
      </c>
      <c r="O91" s="167">
        <v>6</v>
      </c>
      <c r="P91" s="168">
        <v>0</v>
      </c>
      <c r="Q91" s="169">
        <v>0</v>
      </c>
      <c r="R91" s="170">
        <f t="shared" si="41"/>
        <v>6</v>
      </c>
    </row>
    <row r="92" spans="1:18">
      <c r="B92" s="136" t="s">
        <v>283</v>
      </c>
      <c r="C92" s="167">
        <v>0</v>
      </c>
      <c r="D92" s="168">
        <v>0</v>
      </c>
      <c r="E92" s="169">
        <v>0</v>
      </c>
      <c r="F92" s="170" t="str">
        <f t="shared" si="38"/>
        <v/>
      </c>
      <c r="G92" s="167">
        <v>0</v>
      </c>
      <c r="H92" s="168">
        <v>0</v>
      </c>
      <c r="I92" s="169">
        <v>0</v>
      </c>
      <c r="J92" s="170" t="str">
        <f t="shared" si="39"/>
        <v/>
      </c>
      <c r="K92" s="167">
        <v>58</v>
      </c>
      <c r="L92" s="168">
        <v>6</v>
      </c>
      <c r="M92" s="169">
        <v>1</v>
      </c>
      <c r="N92" s="170">
        <f t="shared" si="40"/>
        <v>65</v>
      </c>
      <c r="O92" s="167">
        <v>18</v>
      </c>
      <c r="P92" s="168">
        <v>1</v>
      </c>
      <c r="Q92" s="169">
        <v>0</v>
      </c>
      <c r="R92" s="170">
        <f t="shared" si="41"/>
        <v>19</v>
      </c>
    </row>
    <row r="93" spans="1:18">
      <c r="B93" s="136" t="s">
        <v>284</v>
      </c>
      <c r="C93" s="167">
        <v>0</v>
      </c>
      <c r="D93" s="168">
        <v>2</v>
      </c>
      <c r="E93" s="169">
        <v>0</v>
      </c>
      <c r="F93" s="170">
        <f t="shared" si="38"/>
        <v>2</v>
      </c>
      <c r="G93" s="167">
        <v>1</v>
      </c>
      <c r="H93" s="168">
        <v>0</v>
      </c>
      <c r="I93" s="169">
        <v>0</v>
      </c>
      <c r="J93" s="170">
        <f t="shared" si="39"/>
        <v>1</v>
      </c>
      <c r="K93" s="167">
        <v>21</v>
      </c>
      <c r="L93" s="168">
        <v>5</v>
      </c>
      <c r="M93" s="169">
        <v>0</v>
      </c>
      <c r="N93" s="170">
        <f t="shared" si="40"/>
        <v>26</v>
      </c>
      <c r="O93" s="167">
        <v>7</v>
      </c>
      <c r="P93" s="168">
        <v>2</v>
      </c>
      <c r="Q93" s="169">
        <v>0</v>
      </c>
      <c r="R93" s="170">
        <f t="shared" si="41"/>
        <v>9</v>
      </c>
    </row>
    <row r="94" spans="1:18">
      <c r="B94" s="136" t="s">
        <v>285</v>
      </c>
      <c r="C94" s="167">
        <v>0</v>
      </c>
      <c r="D94" s="168">
        <v>2</v>
      </c>
      <c r="E94" s="169">
        <v>0</v>
      </c>
      <c r="F94" s="170">
        <f t="shared" si="38"/>
        <v>2</v>
      </c>
      <c r="G94" s="167">
        <v>0</v>
      </c>
      <c r="H94" s="168">
        <v>0</v>
      </c>
      <c r="I94" s="169">
        <v>0</v>
      </c>
      <c r="J94" s="170" t="str">
        <f t="shared" si="39"/>
        <v/>
      </c>
      <c r="K94" s="167">
        <v>16</v>
      </c>
      <c r="L94" s="168">
        <v>0</v>
      </c>
      <c r="M94" s="169">
        <v>0</v>
      </c>
      <c r="N94" s="170">
        <f t="shared" si="40"/>
        <v>16</v>
      </c>
      <c r="O94" s="167">
        <v>8</v>
      </c>
      <c r="P94" s="168">
        <v>1</v>
      </c>
      <c r="Q94" s="169">
        <v>0</v>
      </c>
      <c r="R94" s="170">
        <f t="shared" si="41"/>
        <v>9</v>
      </c>
    </row>
    <row r="95" spans="1:18">
      <c r="B95" s="136" t="s">
        <v>286</v>
      </c>
      <c r="C95" s="167">
        <v>0</v>
      </c>
      <c r="D95" s="168">
        <v>3</v>
      </c>
      <c r="E95" s="169">
        <v>0</v>
      </c>
      <c r="F95" s="170">
        <f t="shared" si="38"/>
        <v>3</v>
      </c>
      <c r="G95" s="167">
        <v>0</v>
      </c>
      <c r="H95" s="168">
        <v>0</v>
      </c>
      <c r="I95" s="169">
        <v>0</v>
      </c>
      <c r="J95" s="170" t="str">
        <f t="shared" si="39"/>
        <v/>
      </c>
      <c r="K95" s="167">
        <v>13</v>
      </c>
      <c r="L95" s="168">
        <v>3</v>
      </c>
      <c r="M95" s="169">
        <v>0</v>
      </c>
      <c r="N95" s="170">
        <f t="shared" si="40"/>
        <v>16</v>
      </c>
      <c r="O95" s="167">
        <v>0</v>
      </c>
      <c r="P95" s="168">
        <v>0</v>
      </c>
      <c r="Q95" s="169">
        <v>0</v>
      </c>
      <c r="R95" s="170" t="str">
        <f t="shared" si="41"/>
        <v/>
      </c>
    </row>
    <row r="96" spans="1:18">
      <c r="B96" s="136" t="s">
        <v>287</v>
      </c>
      <c r="C96" s="167">
        <v>0</v>
      </c>
      <c r="D96" s="168">
        <v>0</v>
      </c>
      <c r="E96" s="169">
        <v>0</v>
      </c>
      <c r="F96" s="170" t="str">
        <f t="shared" si="38"/>
        <v/>
      </c>
      <c r="G96" s="167">
        <v>0</v>
      </c>
      <c r="H96" s="168">
        <v>0</v>
      </c>
      <c r="I96" s="169">
        <v>0</v>
      </c>
      <c r="J96" s="170" t="str">
        <f t="shared" si="39"/>
        <v/>
      </c>
      <c r="K96" s="167">
        <v>17</v>
      </c>
      <c r="L96" s="168">
        <v>1</v>
      </c>
      <c r="M96" s="169">
        <v>0</v>
      </c>
      <c r="N96" s="170">
        <f t="shared" si="40"/>
        <v>18</v>
      </c>
      <c r="O96" s="167">
        <v>2</v>
      </c>
      <c r="P96" s="168">
        <v>0</v>
      </c>
      <c r="Q96" s="169">
        <v>0</v>
      </c>
      <c r="R96" s="170">
        <f t="shared" si="41"/>
        <v>2</v>
      </c>
    </row>
    <row r="97" spans="1:18" ht="18.75" thickBot="1">
      <c r="B97" s="136" t="s">
        <v>288</v>
      </c>
      <c r="C97" s="167">
        <v>0</v>
      </c>
      <c r="D97" s="167">
        <v>0</v>
      </c>
      <c r="E97" s="167">
        <v>0</v>
      </c>
      <c r="F97" s="180" t="str">
        <f t="shared" si="38"/>
        <v/>
      </c>
      <c r="G97" s="1762">
        <v>1</v>
      </c>
      <c r="H97" s="1763" t="s">
        <v>388</v>
      </c>
      <c r="I97" s="1763" t="s">
        <v>388</v>
      </c>
      <c r="J97" s="180">
        <f t="shared" si="39"/>
        <v>1</v>
      </c>
      <c r="K97" s="1762">
        <v>6</v>
      </c>
      <c r="L97" s="1763">
        <v>1</v>
      </c>
      <c r="M97" s="1763" t="s">
        <v>388</v>
      </c>
      <c r="N97" s="180">
        <f t="shared" si="40"/>
        <v>7</v>
      </c>
      <c r="O97" s="1762">
        <v>6</v>
      </c>
      <c r="P97" s="1763" t="s">
        <v>388</v>
      </c>
      <c r="Q97" s="1763" t="s">
        <v>388</v>
      </c>
      <c r="R97" s="180">
        <f t="shared" si="41"/>
        <v>6</v>
      </c>
    </row>
    <row r="98" spans="1:18" ht="18.75" thickBot="1">
      <c r="B98" s="149" t="s">
        <v>334</v>
      </c>
      <c r="C98" s="205">
        <f t="shared" ref="C98:R98" si="42">IF(SUM(C86:C97)=0,"",SUM(C86:C97))</f>
        <v>4</v>
      </c>
      <c r="D98" s="150">
        <f t="shared" si="42"/>
        <v>13</v>
      </c>
      <c r="E98" s="150" t="str">
        <f t="shared" si="42"/>
        <v/>
      </c>
      <c r="F98" s="150">
        <f t="shared" si="42"/>
        <v>17</v>
      </c>
      <c r="G98" s="150">
        <f t="shared" si="42"/>
        <v>6</v>
      </c>
      <c r="H98" s="150">
        <f t="shared" si="42"/>
        <v>1</v>
      </c>
      <c r="I98" s="150" t="str">
        <f t="shared" si="42"/>
        <v/>
      </c>
      <c r="J98" s="150">
        <f t="shared" si="42"/>
        <v>7</v>
      </c>
      <c r="K98" s="150">
        <f t="shared" si="42"/>
        <v>236</v>
      </c>
      <c r="L98" s="150">
        <f t="shared" si="42"/>
        <v>29</v>
      </c>
      <c r="M98" s="150">
        <f t="shared" si="42"/>
        <v>1</v>
      </c>
      <c r="N98" s="150">
        <f t="shared" si="42"/>
        <v>266</v>
      </c>
      <c r="O98" s="150">
        <f t="shared" si="42"/>
        <v>73</v>
      </c>
      <c r="P98" s="150">
        <f t="shared" si="42"/>
        <v>7</v>
      </c>
      <c r="Q98" s="150" t="str">
        <f t="shared" si="42"/>
        <v/>
      </c>
      <c r="R98" s="150">
        <f t="shared" si="42"/>
        <v>80</v>
      </c>
    </row>
    <row r="104" spans="1:18">
      <c r="A104" s="1933">
        <v>2024</v>
      </c>
    </row>
    <row r="105" spans="1:18" ht="18.75" thickBot="1">
      <c r="A105" s="1933"/>
    </row>
    <row r="106" spans="1:18" ht="21.75" thickBot="1">
      <c r="B106" s="1950" t="s">
        <v>337</v>
      </c>
      <c r="C106" s="1951"/>
      <c r="D106" s="1951"/>
      <c r="E106" s="1951"/>
      <c r="F106" s="1951"/>
      <c r="G106" s="1951"/>
      <c r="H106" s="1951"/>
      <c r="I106" s="1951"/>
      <c r="J106" s="1951"/>
      <c r="K106" s="1951"/>
      <c r="L106" s="1951"/>
      <c r="M106" s="1952"/>
    </row>
    <row r="107" spans="1:18" ht="54.75" thickBot="1">
      <c r="A107" s="880" t="s">
        <v>338</v>
      </c>
      <c r="B107" s="127" t="s">
        <v>121</v>
      </c>
      <c r="C107" s="127" t="s">
        <v>339</v>
      </c>
      <c r="D107" s="127" t="s">
        <v>340</v>
      </c>
      <c r="E107" s="127" t="s">
        <v>341</v>
      </c>
      <c r="F107" s="127" t="s">
        <v>342</v>
      </c>
      <c r="G107" s="127" t="s">
        <v>343</v>
      </c>
      <c r="H107" s="127" t="s">
        <v>344</v>
      </c>
      <c r="I107" s="127" t="s">
        <v>345</v>
      </c>
      <c r="J107" s="127" t="s">
        <v>346</v>
      </c>
      <c r="K107" s="127" t="s">
        <v>347</v>
      </c>
      <c r="L107" s="127" t="s">
        <v>348</v>
      </c>
      <c r="M107" s="127" t="s">
        <v>349</v>
      </c>
    </row>
    <row r="108" spans="1:18">
      <c r="A108" s="882" t="s">
        <v>337</v>
      </c>
      <c r="B108" s="130" t="s">
        <v>278</v>
      </c>
      <c r="C108" s="131">
        <v>0</v>
      </c>
      <c r="D108" s="131">
        <v>0</v>
      </c>
      <c r="E108" s="131">
        <v>0</v>
      </c>
      <c r="F108" s="131">
        <v>1</v>
      </c>
      <c r="G108" s="132">
        <v>0</v>
      </c>
      <c r="H108" s="133">
        <v>0</v>
      </c>
      <c r="I108" s="134">
        <v>0</v>
      </c>
      <c r="J108" s="135">
        <f>IF(SUM(C108:G108,I108)=0,"",SUM(C108:G108,I108))</f>
        <v>1</v>
      </c>
      <c r="K108" s="131">
        <v>191160</v>
      </c>
      <c r="L108" s="456">
        <f>IFERROR((SUM(C108:E108)*200000)/K108,"")</f>
        <v>0</v>
      </c>
      <c r="M108" s="131">
        <v>0</v>
      </c>
    </row>
    <row r="109" spans="1:18">
      <c r="A109" t="s">
        <v>81</v>
      </c>
      <c r="B109" s="136" t="s">
        <v>279</v>
      </c>
      <c r="C109" s="137"/>
      <c r="D109" s="137"/>
      <c r="E109" s="137"/>
      <c r="F109" s="137"/>
      <c r="G109" s="138"/>
      <c r="H109" s="137"/>
      <c r="I109" s="139"/>
      <c r="J109" s="140" t="str">
        <f t="shared" ref="J109:J114" si="43">IF(SUM(C109:G109,I109)=0,"",SUM(C109:G109,I109))</f>
        <v/>
      </c>
      <c r="K109" s="137"/>
      <c r="L109" s="141" t="str">
        <f t="shared" ref="L109:L112" si="44">IFERROR((SUM(C109:E109)*200000)/K109,"")</f>
        <v/>
      </c>
      <c r="M109" s="137"/>
    </row>
    <row r="110" spans="1:18">
      <c r="B110" s="136" t="s">
        <v>280</v>
      </c>
      <c r="C110" s="137"/>
      <c r="D110" s="137"/>
      <c r="E110" s="137"/>
      <c r="F110" s="137"/>
      <c r="G110" s="138"/>
      <c r="H110" s="137"/>
      <c r="I110" s="139"/>
      <c r="J110" s="140" t="str">
        <f t="shared" si="43"/>
        <v/>
      </c>
      <c r="K110" s="137"/>
      <c r="L110" s="141" t="str">
        <f t="shared" si="44"/>
        <v/>
      </c>
      <c r="M110" s="137"/>
    </row>
    <row r="111" spans="1:18">
      <c r="B111" s="136" t="s">
        <v>281</v>
      </c>
      <c r="C111" s="137"/>
      <c r="D111" s="137"/>
      <c r="E111" s="137"/>
      <c r="F111" s="137"/>
      <c r="G111" s="138"/>
      <c r="H111" s="137"/>
      <c r="I111" s="139"/>
      <c r="J111" s="140" t="str">
        <f t="shared" si="43"/>
        <v/>
      </c>
      <c r="K111" s="137"/>
      <c r="L111" s="141" t="str">
        <f t="shared" si="44"/>
        <v/>
      </c>
      <c r="M111" s="137"/>
    </row>
    <row r="112" spans="1:18">
      <c r="B112" s="136" t="s">
        <v>132</v>
      </c>
      <c r="C112" s="137"/>
      <c r="D112" s="137"/>
      <c r="E112" s="137"/>
      <c r="F112" s="137"/>
      <c r="G112" s="138"/>
      <c r="H112" s="137"/>
      <c r="I112" s="139"/>
      <c r="J112" s="140" t="str">
        <f t="shared" si="43"/>
        <v/>
      </c>
      <c r="K112" s="137"/>
      <c r="L112" s="141" t="str">
        <f t="shared" si="44"/>
        <v/>
      </c>
      <c r="M112" s="137"/>
    </row>
    <row r="113" spans="1:43">
      <c r="B113" s="136" t="s">
        <v>282</v>
      </c>
      <c r="C113" s="137"/>
      <c r="D113" s="137"/>
      <c r="E113" s="137"/>
      <c r="F113" s="137"/>
      <c r="G113" s="138"/>
      <c r="H113" s="137"/>
      <c r="I113" s="139"/>
      <c r="J113" s="140" t="str">
        <f t="shared" si="43"/>
        <v/>
      </c>
      <c r="K113" s="137"/>
      <c r="L113" s="141" t="str">
        <f>IFERROR((SUM(C113:E113)*200000)/K113,"")</f>
        <v/>
      </c>
      <c r="M113" s="137"/>
    </row>
    <row r="114" spans="1:43">
      <c r="B114" s="136" t="s">
        <v>283</v>
      </c>
      <c r="C114" s="137"/>
      <c r="D114" s="137"/>
      <c r="E114" s="137"/>
      <c r="F114" s="137"/>
      <c r="G114" s="138"/>
      <c r="H114" s="137"/>
      <c r="I114" s="139"/>
      <c r="J114" s="140" t="str">
        <f t="shared" si="43"/>
        <v/>
      </c>
      <c r="K114" s="137"/>
      <c r="L114" s="141" t="str">
        <f t="shared" ref="L114:L120" si="45">IFERROR((SUM(C114:E114)*200000)/K114,"")</f>
        <v/>
      </c>
      <c r="M114" s="137"/>
    </row>
    <row r="115" spans="1:43">
      <c r="B115" s="136" t="s">
        <v>284</v>
      </c>
      <c r="C115" s="137"/>
      <c r="D115" s="137"/>
      <c r="E115" s="137"/>
      <c r="F115" s="137"/>
      <c r="G115" s="138"/>
      <c r="H115" s="137"/>
      <c r="I115" s="139"/>
      <c r="J115" s="140" t="str">
        <f t="shared" ref="J115:J119" si="46">IF(SUM(C115:G115,I115)=0,"",SUM(C115:G115,I115))</f>
        <v/>
      </c>
      <c r="K115" s="137"/>
      <c r="L115" s="141" t="str">
        <f t="shared" si="45"/>
        <v/>
      </c>
      <c r="M115" s="137"/>
    </row>
    <row r="116" spans="1:43">
      <c r="B116" s="136" t="s">
        <v>285</v>
      </c>
      <c r="C116" s="137"/>
      <c r="D116" s="137"/>
      <c r="E116" s="137"/>
      <c r="F116" s="137"/>
      <c r="G116" s="138"/>
      <c r="H116" s="137"/>
      <c r="I116" s="139"/>
      <c r="J116" s="140" t="str">
        <f t="shared" si="46"/>
        <v/>
      </c>
      <c r="K116" s="137"/>
      <c r="L116" s="141" t="str">
        <f t="shared" si="45"/>
        <v/>
      </c>
      <c r="M116" s="137"/>
    </row>
    <row r="117" spans="1:43">
      <c r="B117" s="136" t="s">
        <v>286</v>
      </c>
      <c r="C117" s="137"/>
      <c r="D117" s="137"/>
      <c r="E117" s="137"/>
      <c r="F117" s="137"/>
      <c r="G117" s="138"/>
      <c r="H117" s="137"/>
      <c r="I117" s="139"/>
      <c r="J117" s="140" t="str">
        <f t="shared" si="46"/>
        <v/>
      </c>
      <c r="K117" s="137"/>
      <c r="L117" s="141" t="str">
        <f t="shared" si="45"/>
        <v/>
      </c>
      <c r="M117" s="137"/>
    </row>
    <row r="118" spans="1:43">
      <c r="B118" s="136" t="s">
        <v>287</v>
      </c>
      <c r="C118" s="137"/>
      <c r="D118" s="137"/>
      <c r="E118" s="137"/>
      <c r="F118" s="137"/>
      <c r="G118" s="138"/>
      <c r="H118" s="137"/>
      <c r="I118" s="139"/>
      <c r="J118" s="140" t="str">
        <f t="shared" si="46"/>
        <v/>
      </c>
      <c r="K118" s="137"/>
      <c r="L118" s="141" t="str">
        <f t="shared" si="45"/>
        <v/>
      </c>
      <c r="M118" s="137"/>
    </row>
    <row r="119" spans="1:43" ht="18.75" thickBot="1">
      <c r="B119" s="142" t="s">
        <v>288</v>
      </c>
      <c r="C119" s="143"/>
      <c r="D119" s="143"/>
      <c r="E119" s="143"/>
      <c r="F119" s="143"/>
      <c r="G119" s="144"/>
      <c r="H119" s="145"/>
      <c r="I119" s="146"/>
      <c r="J119" s="147" t="str">
        <f t="shared" si="46"/>
        <v/>
      </c>
      <c r="K119" s="143"/>
      <c r="L119" s="148" t="str">
        <f t="shared" si="45"/>
        <v/>
      </c>
      <c r="M119" s="143"/>
    </row>
    <row r="120" spans="1:43" ht="18.75" thickBot="1">
      <c r="B120" s="149" t="s">
        <v>334</v>
      </c>
      <c r="C120" s="150" t="str">
        <f>IF(SUM(C108:C119)=0,"",SUM(C108:C119))</f>
        <v/>
      </c>
      <c r="D120" s="150" t="str">
        <f t="shared" ref="D120:H120" si="47">IF(SUM(D108:D119)=0,"",SUM(D108:D119))</f>
        <v/>
      </c>
      <c r="E120" s="150" t="str">
        <f t="shared" si="47"/>
        <v/>
      </c>
      <c r="F120" s="150">
        <f t="shared" si="47"/>
        <v>1</v>
      </c>
      <c r="G120" s="150" t="str">
        <f t="shared" si="47"/>
        <v/>
      </c>
      <c r="H120" s="150" t="str">
        <f t="shared" si="47"/>
        <v/>
      </c>
      <c r="I120" s="150" t="str">
        <f>IF(SUM(I108:I119)=0,"",SUM(I108:I119))</f>
        <v/>
      </c>
      <c r="J120" s="150">
        <f>IF(SUM(J108:J119)=0,"",SUM(J108:J119))</f>
        <v>1</v>
      </c>
      <c r="K120" s="150">
        <f>IF(SUM(K108:K119)=0,"",SUM(K108:K119))</f>
        <v>191160</v>
      </c>
      <c r="L120" s="151">
        <f t="shared" si="45"/>
        <v>0</v>
      </c>
      <c r="M120" s="150" t="str">
        <f>IF(SUM(M108:M119)=0,"",SUM(M108:M119))</f>
        <v/>
      </c>
    </row>
    <row r="121" spans="1:43" ht="17.25">
      <c r="B121" s="1937"/>
      <c r="C121" s="1937"/>
      <c r="D121" s="1937"/>
      <c r="E121" s="1937"/>
      <c r="F121" s="1937"/>
      <c r="G121" s="1937"/>
      <c r="H121" s="1937"/>
      <c r="I121" s="1937"/>
      <c r="J121" s="1937"/>
      <c r="K121" s="1937"/>
      <c r="L121" s="1937"/>
    </row>
    <row r="122" spans="1:43">
      <c r="B122" s="152"/>
      <c r="C122" s="153"/>
      <c r="D122" s="153"/>
      <c r="E122" s="153"/>
      <c r="F122" s="153"/>
      <c r="G122" s="153"/>
      <c r="H122" s="153"/>
      <c r="I122" s="153"/>
      <c r="J122" s="153"/>
    </row>
    <row r="123" spans="1:43" ht="18.75" thickBot="1"/>
    <row r="124" spans="1:43" ht="21.75" customHeight="1" thickBot="1">
      <c r="A124" s="1933">
        <v>2024</v>
      </c>
      <c r="B124" s="1966" t="s">
        <v>350</v>
      </c>
      <c r="C124" s="1966"/>
      <c r="D124" s="1966"/>
      <c r="E124" s="1966"/>
      <c r="F124" s="1966"/>
      <c r="G124" s="1966"/>
      <c r="H124" s="1966"/>
      <c r="I124" s="1966"/>
      <c r="J124" s="1966"/>
      <c r="K124" s="1966"/>
      <c r="L124" s="1966"/>
      <c r="M124" s="1966"/>
      <c r="N124" s="1966"/>
      <c r="O124" s="1966"/>
      <c r="P124" s="1966"/>
      <c r="Q124" s="1966"/>
      <c r="R124" s="1966"/>
      <c r="S124" s="1966"/>
      <c r="T124" s="1966"/>
      <c r="U124" s="1966"/>
      <c r="V124" s="1966"/>
      <c r="W124" s="1966"/>
      <c r="X124" s="1966"/>
      <c r="Y124" s="1966"/>
      <c r="Z124" s="1966"/>
      <c r="AB124" s="1938" t="s">
        <v>351</v>
      </c>
      <c r="AC124" s="1939"/>
      <c r="AD124" s="1940"/>
      <c r="AP124" s="450"/>
    </row>
    <row r="125" spans="1:43" ht="41.25" customHeight="1" thickBot="1">
      <c r="A125" s="1933"/>
      <c r="B125" s="1945" t="s">
        <v>121</v>
      </c>
      <c r="C125" s="1965" t="s">
        <v>352</v>
      </c>
      <c r="D125" s="1965"/>
      <c r="E125" s="1965"/>
      <c r="F125" s="1965"/>
      <c r="G125" s="1965"/>
      <c r="H125" s="1965"/>
      <c r="I125" s="1965"/>
      <c r="J125" s="1965"/>
      <c r="K125" s="1944" t="s">
        <v>353</v>
      </c>
      <c r="L125" s="1944"/>
      <c r="M125" s="1944"/>
      <c r="N125" s="1944"/>
      <c r="O125" s="1944"/>
      <c r="P125" s="1944"/>
      <c r="Q125" s="1944"/>
      <c r="R125" s="1944"/>
      <c r="S125" s="1944" t="s">
        <v>354</v>
      </c>
      <c r="T125" s="1944"/>
      <c r="U125" s="1944"/>
      <c r="V125" s="1944"/>
      <c r="W125" s="1944"/>
      <c r="X125" s="1944"/>
      <c r="Y125" s="1944"/>
      <c r="Z125" s="1944"/>
      <c r="AA125" s="154"/>
      <c r="AB125" s="1941"/>
      <c r="AC125" s="1942"/>
      <c r="AD125" s="1943"/>
      <c r="AE125" s="154"/>
      <c r="AF125" s="154"/>
      <c r="AG125" s="154"/>
      <c r="AH125" s="154"/>
      <c r="AI125" s="154"/>
      <c r="AJ125" s="154"/>
      <c r="AK125" s="154"/>
      <c r="AL125" s="154"/>
      <c r="AM125" s="154"/>
      <c r="AN125" s="154"/>
      <c r="AO125" s="154"/>
      <c r="AP125" s="154"/>
      <c r="AQ125" s="154"/>
    </row>
    <row r="126" spans="1:43" ht="19.5" customHeight="1" thickBot="1">
      <c r="A126" s="154"/>
      <c r="B126" s="1945"/>
      <c r="C126" s="1945" t="s">
        <v>355</v>
      </c>
      <c r="D126" s="1945"/>
      <c r="E126" s="1945"/>
      <c r="F126" s="1945"/>
      <c r="G126" s="1945" t="s">
        <v>356</v>
      </c>
      <c r="H126" s="1945"/>
      <c r="I126" s="1945"/>
      <c r="J126" s="1945"/>
      <c r="K126" s="1945" t="s">
        <v>355</v>
      </c>
      <c r="L126" s="1945"/>
      <c r="M126" s="1945"/>
      <c r="N126" s="1945"/>
      <c r="O126" s="1945" t="s">
        <v>356</v>
      </c>
      <c r="P126" s="1945"/>
      <c r="Q126" s="1945"/>
      <c r="R126" s="1945"/>
      <c r="S126" s="1945" t="s">
        <v>355</v>
      </c>
      <c r="T126" s="1945"/>
      <c r="U126" s="1945"/>
      <c r="V126" s="1945"/>
      <c r="W126" s="1945" t="s">
        <v>356</v>
      </c>
      <c r="X126" s="1945"/>
      <c r="Y126" s="1945"/>
      <c r="Z126" s="1945"/>
      <c r="AA126" s="154"/>
      <c r="AB126" s="1944" t="s">
        <v>357</v>
      </c>
      <c r="AC126" s="1944"/>
      <c r="AD126" s="1944"/>
      <c r="AE126" s="154"/>
      <c r="AF126" s="1944" t="s">
        <v>358</v>
      </c>
      <c r="AG126" s="1944"/>
      <c r="AH126" s="154"/>
      <c r="AI126" s="1944" t="s">
        <v>299</v>
      </c>
      <c r="AJ126" s="1944"/>
      <c r="AK126" s="1944"/>
      <c r="AL126" s="1944"/>
      <c r="AM126" s="154"/>
      <c r="AN126" s="1944" t="s">
        <v>359</v>
      </c>
      <c r="AO126" s="1944"/>
      <c r="AP126" s="1944"/>
      <c r="AQ126" s="1944"/>
    </row>
    <row r="127" spans="1:43" ht="18.75" thickBot="1">
      <c r="A127" s="880" t="s">
        <v>338</v>
      </c>
      <c r="B127" s="1945"/>
      <c r="C127" s="127" t="s">
        <v>360</v>
      </c>
      <c r="D127" s="127" t="s">
        <v>361</v>
      </c>
      <c r="E127" s="127" t="s">
        <v>362</v>
      </c>
      <c r="F127" s="127" t="s">
        <v>363</v>
      </c>
      <c r="G127" s="127" t="s">
        <v>360</v>
      </c>
      <c r="H127" s="127" t="s">
        <v>361</v>
      </c>
      <c r="I127" s="127" t="s">
        <v>362</v>
      </c>
      <c r="J127" s="127" t="s">
        <v>363</v>
      </c>
      <c r="K127" s="127" t="s">
        <v>360</v>
      </c>
      <c r="L127" s="127" t="s">
        <v>361</v>
      </c>
      <c r="M127" s="127" t="s">
        <v>362</v>
      </c>
      <c r="N127" s="127" t="s">
        <v>363</v>
      </c>
      <c r="O127" s="127" t="s">
        <v>360</v>
      </c>
      <c r="P127" s="127" t="s">
        <v>361</v>
      </c>
      <c r="Q127" s="127" t="s">
        <v>362</v>
      </c>
      <c r="R127" s="127" t="s">
        <v>363</v>
      </c>
      <c r="S127" s="127" t="s">
        <v>360</v>
      </c>
      <c r="T127" s="127" t="s">
        <v>361</v>
      </c>
      <c r="U127" s="127" t="s">
        <v>362</v>
      </c>
      <c r="V127" s="127" t="s">
        <v>363</v>
      </c>
      <c r="W127" s="127" t="s">
        <v>360</v>
      </c>
      <c r="X127" s="127" t="s">
        <v>361</v>
      </c>
      <c r="Y127" s="127" t="s">
        <v>362</v>
      </c>
      <c r="Z127" s="127" t="s">
        <v>363</v>
      </c>
      <c r="AA127" s="154"/>
      <c r="AB127" s="127" t="s">
        <v>355</v>
      </c>
      <c r="AC127" s="127" t="s">
        <v>356</v>
      </c>
      <c r="AD127" s="127" t="s">
        <v>334</v>
      </c>
      <c r="AE127" s="154"/>
      <c r="AF127" s="127" t="s">
        <v>355</v>
      </c>
      <c r="AG127" s="127" t="s">
        <v>356</v>
      </c>
      <c r="AH127" s="154"/>
      <c r="AI127" s="127" t="s">
        <v>355</v>
      </c>
      <c r="AJ127" s="127" t="s">
        <v>356</v>
      </c>
      <c r="AK127" s="127" t="s">
        <v>334</v>
      </c>
      <c r="AL127" s="127" t="s">
        <v>364</v>
      </c>
      <c r="AM127" s="154"/>
      <c r="AN127" s="127" t="s">
        <v>355</v>
      </c>
      <c r="AO127" s="127" t="s">
        <v>356</v>
      </c>
      <c r="AP127" s="127" t="s">
        <v>334</v>
      </c>
      <c r="AQ127" s="127" t="s">
        <v>364</v>
      </c>
    </row>
    <row r="128" spans="1:43">
      <c r="A128" s="882" t="s">
        <v>350</v>
      </c>
      <c r="B128" s="155" t="s">
        <v>278</v>
      </c>
      <c r="C128" s="156">
        <v>19</v>
      </c>
      <c r="D128" s="157">
        <v>48</v>
      </c>
      <c r="E128" s="158">
        <v>4</v>
      </c>
      <c r="F128" s="159">
        <f>IF(SUM(C128:E128)=0,"",SUM(C128:E128))</f>
        <v>71</v>
      </c>
      <c r="G128" s="156">
        <v>6</v>
      </c>
      <c r="H128" s="157">
        <v>3</v>
      </c>
      <c r="I128" s="158">
        <v>0</v>
      </c>
      <c r="J128" s="466">
        <f>IF(SUM(G128:I128)=0,"",SUM(G128:I128))</f>
        <v>9</v>
      </c>
      <c r="K128" s="156">
        <v>393</v>
      </c>
      <c r="L128" s="157">
        <v>161</v>
      </c>
      <c r="M128" s="158">
        <v>7</v>
      </c>
      <c r="N128" s="159">
        <f>IF(SUM(K128:M128)=0,"",SUM(K128:M128))</f>
        <v>561</v>
      </c>
      <c r="O128" s="156">
        <v>144</v>
      </c>
      <c r="P128" s="157">
        <v>18</v>
      </c>
      <c r="Q128" s="158">
        <v>0</v>
      </c>
      <c r="R128" s="159">
        <f>IF(SUM(O128:Q128)=0,"",SUM(O128:Q128))</f>
        <v>162</v>
      </c>
      <c r="S128" s="156">
        <v>0</v>
      </c>
      <c r="T128" s="157">
        <v>0</v>
      </c>
      <c r="U128" s="158">
        <v>0</v>
      </c>
      <c r="V128" s="159" t="str">
        <f>IF(SUM(S128:U128)=0,"",SUM(S128:U128))</f>
        <v/>
      </c>
      <c r="W128" s="156">
        <v>0</v>
      </c>
      <c r="X128" s="157">
        <v>0</v>
      </c>
      <c r="Y128" s="158">
        <v>0</v>
      </c>
      <c r="Z128" s="159" t="str">
        <f>IF(SUM(W128:Y128)=0,"",SUM(W128:Y128))</f>
        <v/>
      </c>
      <c r="AB128" s="160">
        <v>62</v>
      </c>
      <c r="AC128" s="161">
        <v>7</v>
      </c>
      <c r="AD128" s="162">
        <f>IF(SUM(AB128:AC128)=0,"",SUM(AB128:AC128))</f>
        <v>69</v>
      </c>
      <c r="AF128" s="156"/>
      <c r="AG128" s="163"/>
      <c r="AI128" s="164">
        <f>IF(SUM(F128,N128,V128)=0,"",SUM(F128,N128,V128))</f>
        <v>632</v>
      </c>
      <c r="AJ128" s="165">
        <f>IF(SUM(Z128,R128,J128,)=0,"",SUM(Z128,R128,J128))</f>
        <v>171</v>
      </c>
      <c r="AK128" s="162">
        <f>IF(SUM(AI128:AJ128)=0,"",SUM(AI128:AJ128))</f>
        <v>803</v>
      </c>
      <c r="AL128" s="166">
        <f>IFERROR(AJ128/AK128,"")</f>
        <v>0.21295143212951431</v>
      </c>
      <c r="AN128" s="159">
        <f>F128</f>
        <v>71</v>
      </c>
      <c r="AO128" s="170">
        <f t="shared" ref="AO128:AO139" si="48">J128</f>
        <v>9</v>
      </c>
      <c r="AP128" s="162">
        <f>IF(SUM(AN128:AO128)=0,"",SUM(AN128:AO128))</f>
        <v>80</v>
      </c>
      <c r="AQ128" s="166">
        <f>IFERROR(AO128/AP128,"")</f>
        <v>0.1125</v>
      </c>
    </row>
    <row r="129" spans="1:43">
      <c r="A129" t="s">
        <v>365</v>
      </c>
      <c r="B129" s="136" t="s">
        <v>279</v>
      </c>
      <c r="C129" s="167"/>
      <c r="D129" s="168"/>
      <c r="E129" s="169"/>
      <c r="F129" s="170" t="str">
        <f t="shared" ref="F129" si="49">IF(SUM(C129:E129)=0,"",SUM(C129:E129))</f>
        <v/>
      </c>
      <c r="G129" s="167"/>
      <c r="H129" s="168"/>
      <c r="I129" s="169"/>
      <c r="J129" s="467" t="str">
        <f t="shared" ref="J129" si="50">IF(SUM(G129:I129)=0,"",SUM(G129:I129))</f>
        <v/>
      </c>
      <c r="K129" s="167"/>
      <c r="L129" s="168"/>
      <c r="M129" s="169"/>
      <c r="N129" s="170" t="str">
        <f t="shared" ref="N129:N139" si="51">IF(SUM(K129:M129)=0,"",SUM(K129:M129))</f>
        <v/>
      </c>
      <c r="O129" s="167"/>
      <c r="P129" s="168"/>
      <c r="Q129" s="169"/>
      <c r="R129" s="170" t="str">
        <f t="shared" ref="R129:R131" si="52">IF(SUM(O129:Q129)=0,"",SUM(O129:Q129))</f>
        <v/>
      </c>
      <c r="S129" s="167"/>
      <c r="T129" s="168"/>
      <c r="U129" s="169"/>
      <c r="V129" s="170" t="str">
        <f t="shared" ref="V129:V139" si="53">IF(SUM(S129:U129)=0,"",SUM(S129:U129))</f>
        <v/>
      </c>
      <c r="W129" s="167"/>
      <c r="X129" s="168"/>
      <c r="Y129" s="169"/>
      <c r="Z129" s="170" t="str">
        <f t="shared" ref="Z129:Z139" si="54">IF(SUM(W129:Y129)=0,"",SUM(W129:Y129))</f>
        <v/>
      </c>
      <c r="AB129" s="167"/>
      <c r="AC129" s="171"/>
      <c r="AD129" s="172" t="str">
        <f t="shared" ref="AD129:AD139" si="55">IF(SUM(AB129:AC129)=0,"",SUM(AB129:AC129))</f>
        <v/>
      </c>
      <c r="AF129" s="167"/>
      <c r="AG129" s="171"/>
      <c r="AI129" s="173" t="str">
        <f t="shared" ref="AI129:AI139" si="56">IF(SUM(F129,N129,V129)=0,"",SUM(F129,N129,V129))</f>
        <v/>
      </c>
      <c r="AJ129" s="174" t="str">
        <f t="shared" ref="AJ129:AJ139" si="57">IF(SUM(Z129,R129,J129,)=0,"",SUM(Z129,R129,J129))</f>
        <v/>
      </c>
      <c r="AK129" s="172" t="str">
        <f t="shared" ref="AK129:AK139" si="58">IF(SUM(AI129:AJ129)=0,"",SUM(AI129:AJ129))</f>
        <v/>
      </c>
      <c r="AL129" s="175" t="str">
        <f t="shared" ref="AL129:AL139" si="59">IFERROR(AJ129/AK129,"")</f>
        <v/>
      </c>
      <c r="AN129" s="170" t="str">
        <f t="shared" ref="AN129:AN139" si="60">F129</f>
        <v/>
      </c>
      <c r="AO129" s="170" t="str">
        <f t="shared" si="48"/>
        <v/>
      </c>
      <c r="AP129" s="172" t="str">
        <f t="shared" ref="AP129:AP139" si="61">IF(SUM(AN129:AO129)=0,"",SUM(AN129:AO129))</f>
        <v/>
      </c>
      <c r="AQ129" s="175" t="str">
        <f t="shared" ref="AQ129:AQ139" si="62">IFERROR(AO129/AP129,"")</f>
        <v/>
      </c>
    </row>
    <row r="130" spans="1:43">
      <c r="B130" s="136" t="s">
        <v>280</v>
      </c>
      <c r="C130" s="167"/>
      <c r="D130" s="168"/>
      <c r="E130" s="169"/>
      <c r="F130" s="170" t="str">
        <f>IF(SUM(C130:E130)=0,"",SUM(C130:E130))</f>
        <v/>
      </c>
      <c r="G130" s="167"/>
      <c r="H130" s="168"/>
      <c r="I130" s="169"/>
      <c r="J130" s="467" t="str">
        <f>IF(SUM(G130:I130)=0,"",SUM(G130:I130))</f>
        <v/>
      </c>
      <c r="K130" s="167"/>
      <c r="L130" s="168"/>
      <c r="M130" s="169"/>
      <c r="N130" s="170" t="str">
        <f t="shared" si="51"/>
        <v/>
      </c>
      <c r="O130" s="167"/>
      <c r="P130" s="168"/>
      <c r="Q130" s="169"/>
      <c r="R130" s="170" t="str">
        <f t="shared" si="52"/>
        <v/>
      </c>
      <c r="S130" s="167"/>
      <c r="T130" s="168"/>
      <c r="U130" s="169"/>
      <c r="V130" s="170" t="str">
        <f t="shared" si="53"/>
        <v/>
      </c>
      <c r="W130" s="167"/>
      <c r="X130" s="168"/>
      <c r="Y130" s="169"/>
      <c r="Z130" s="170" t="str">
        <f t="shared" si="54"/>
        <v/>
      </c>
      <c r="AB130" s="167"/>
      <c r="AC130" s="171"/>
      <c r="AD130" s="172" t="str">
        <f t="shared" si="55"/>
        <v/>
      </c>
      <c r="AF130" s="167"/>
      <c r="AG130" s="171"/>
      <c r="AI130" s="173" t="str">
        <f t="shared" si="56"/>
        <v/>
      </c>
      <c r="AJ130" s="174" t="str">
        <f t="shared" si="57"/>
        <v/>
      </c>
      <c r="AK130" s="172" t="str">
        <f t="shared" si="58"/>
        <v/>
      </c>
      <c r="AL130" s="175" t="str">
        <f t="shared" si="59"/>
        <v/>
      </c>
      <c r="AN130" s="170" t="str">
        <f t="shared" si="60"/>
        <v/>
      </c>
      <c r="AO130" s="170" t="str">
        <f t="shared" si="48"/>
        <v/>
      </c>
      <c r="AP130" s="172" t="str">
        <f t="shared" si="61"/>
        <v/>
      </c>
      <c r="AQ130" s="175" t="str">
        <f t="shared" si="62"/>
        <v/>
      </c>
    </row>
    <row r="131" spans="1:43">
      <c r="B131" s="136" t="s">
        <v>281</v>
      </c>
      <c r="C131" s="167"/>
      <c r="D131" s="168"/>
      <c r="E131" s="169"/>
      <c r="F131" s="170" t="str">
        <f t="shared" ref="F131:F139" si="63">IF(SUM(C131:E131)=0,"",SUM(C131:E131))</f>
        <v/>
      </c>
      <c r="G131" s="167"/>
      <c r="H131" s="168"/>
      <c r="I131" s="169"/>
      <c r="J131" s="467" t="str">
        <f t="shared" ref="J131:J139" si="64">IF(SUM(G131:I131)=0,"",SUM(G131:I131))</f>
        <v/>
      </c>
      <c r="K131" s="167"/>
      <c r="L131" s="168"/>
      <c r="M131" s="169"/>
      <c r="N131" s="170" t="str">
        <f t="shared" si="51"/>
        <v/>
      </c>
      <c r="O131" s="167"/>
      <c r="P131" s="168"/>
      <c r="Q131" s="169"/>
      <c r="R131" s="170" t="str">
        <f t="shared" si="52"/>
        <v/>
      </c>
      <c r="S131" s="167"/>
      <c r="T131" s="168"/>
      <c r="U131" s="169"/>
      <c r="V131" s="170" t="str">
        <f t="shared" si="53"/>
        <v/>
      </c>
      <c r="W131" s="167"/>
      <c r="X131" s="168"/>
      <c r="Y131" s="169"/>
      <c r="Z131" s="170" t="str">
        <f t="shared" si="54"/>
        <v/>
      </c>
      <c r="AB131" s="167"/>
      <c r="AC131" s="171"/>
      <c r="AD131" s="172" t="str">
        <f t="shared" si="55"/>
        <v/>
      </c>
      <c r="AF131" s="167"/>
      <c r="AG131" s="171"/>
      <c r="AI131" s="173" t="str">
        <f t="shared" si="56"/>
        <v/>
      </c>
      <c r="AJ131" s="174" t="str">
        <f t="shared" si="57"/>
        <v/>
      </c>
      <c r="AK131" s="172" t="str">
        <f t="shared" si="58"/>
        <v/>
      </c>
      <c r="AL131" s="175" t="str">
        <f t="shared" si="59"/>
        <v/>
      </c>
      <c r="AN131" s="170" t="str">
        <f t="shared" si="60"/>
        <v/>
      </c>
      <c r="AO131" s="170" t="str">
        <f t="shared" si="48"/>
        <v/>
      </c>
      <c r="AP131" s="172" t="str">
        <f t="shared" si="61"/>
        <v/>
      </c>
      <c r="AQ131" s="175" t="str">
        <f t="shared" si="62"/>
        <v/>
      </c>
    </row>
    <row r="132" spans="1:43">
      <c r="B132" s="136" t="s">
        <v>132</v>
      </c>
      <c r="C132" s="167"/>
      <c r="D132" s="168"/>
      <c r="E132" s="169"/>
      <c r="F132" s="170" t="str">
        <f t="shared" si="63"/>
        <v/>
      </c>
      <c r="G132" s="167"/>
      <c r="H132" s="168"/>
      <c r="I132" s="169"/>
      <c r="J132" s="467" t="str">
        <f t="shared" si="64"/>
        <v/>
      </c>
      <c r="K132" s="167"/>
      <c r="L132" s="168"/>
      <c r="M132" s="169"/>
      <c r="N132" s="170" t="str">
        <f t="shared" si="51"/>
        <v/>
      </c>
      <c r="O132" s="167"/>
      <c r="P132" s="168"/>
      <c r="Q132" s="169"/>
      <c r="R132" s="170" t="str">
        <f>IF(SUM(O132:Q132)=0,"",SUM(O132:Q132))</f>
        <v/>
      </c>
      <c r="S132" s="167"/>
      <c r="T132" s="168"/>
      <c r="U132" s="169"/>
      <c r="V132" s="170" t="str">
        <f t="shared" si="53"/>
        <v/>
      </c>
      <c r="W132" s="167"/>
      <c r="X132" s="168"/>
      <c r="Y132" s="169"/>
      <c r="Z132" s="170" t="str">
        <f t="shared" si="54"/>
        <v/>
      </c>
      <c r="AB132" s="167"/>
      <c r="AC132" s="171"/>
      <c r="AD132" s="172" t="str">
        <f t="shared" si="55"/>
        <v/>
      </c>
      <c r="AF132" s="167"/>
      <c r="AG132" s="171"/>
      <c r="AI132" s="173" t="str">
        <f t="shared" si="56"/>
        <v/>
      </c>
      <c r="AJ132" s="174" t="str">
        <f t="shared" si="57"/>
        <v/>
      </c>
      <c r="AK132" s="172" t="str">
        <f t="shared" si="58"/>
        <v/>
      </c>
      <c r="AL132" s="175" t="str">
        <f t="shared" si="59"/>
        <v/>
      </c>
      <c r="AN132" s="170" t="str">
        <f t="shared" si="60"/>
        <v/>
      </c>
      <c r="AO132" s="170" t="str">
        <f t="shared" si="48"/>
        <v/>
      </c>
      <c r="AP132" s="172" t="str">
        <f t="shared" si="61"/>
        <v/>
      </c>
      <c r="AQ132" s="175" t="str">
        <f t="shared" si="62"/>
        <v/>
      </c>
    </row>
    <row r="133" spans="1:43">
      <c r="B133" s="136" t="s">
        <v>282</v>
      </c>
      <c r="C133" s="167"/>
      <c r="D133" s="168"/>
      <c r="E133" s="169"/>
      <c r="F133" s="170" t="str">
        <f t="shared" si="63"/>
        <v/>
      </c>
      <c r="G133" s="167"/>
      <c r="H133" s="168"/>
      <c r="I133" s="169"/>
      <c r="J133" s="467" t="str">
        <f t="shared" si="64"/>
        <v/>
      </c>
      <c r="K133" s="167"/>
      <c r="L133" s="168"/>
      <c r="M133" s="169"/>
      <c r="N133" s="170" t="str">
        <f t="shared" si="51"/>
        <v/>
      </c>
      <c r="O133" s="167"/>
      <c r="P133" s="168"/>
      <c r="Q133" s="169"/>
      <c r="R133" s="170" t="str">
        <f t="shared" ref="R133:R139" si="65">IF(SUM(O133:Q133)=0,"",SUM(O133:Q133))</f>
        <v/>
      </c>
      <c r="S133" s="167"/>
      <c r="T133" s="168"/>
      <c r="U133" s="169"/>
      <c r="V133" s="170" t="str">
        <f t="shared" si="53"/>
        <v/>
      </c>
      <c r="W133" s="167"/>
      <c r="X133" s="168"/>
      <c r="Y133" s="169"/>
      <c r="Z133" s="170" t="str">
        <f t="shared" si="54"/>
        <v/>
      </c>
      <c r="AB133" s="167"/>
      <c r="AC133" s="171"/>
      <c r="AD133" s="172" t="str">
        <f t="shared" si="55"/>
        <v/>
      </c>
      <c r="AF133" s="167"/>
      <c r="AG133" s="171"/>
      <c r="AI133" s="173" t="str">
        <f t="shared" si="56"/>
        <v/>
      </c>
      <c r="AJ133" s="174" t="str">
        <f t="shared" si="57"/>
        <v/>
      </c>
      <c r="AK133" s="172" t="str">
        <f t="shared" si="58"/>
        <v/>
      </c>
      <c r="AL133" s="175" t="str">
        <f t="shared" si="59"/>
        <v/>
      </c>
      <c r="AN133" s="170" t="str">
        <f t="shared" si="60"/>
        <v/>
      </c>
      <c r="AO133" s="170" t="str">
        <f t="shared" si="48"/>
        <v/>
      </c>
      <c r="AP133" s="172" t="str">
        <f t="shared" si="61"/>
        <v/>
      </c>
      <c r="AQ133" s="175" t="str">
        <f t="shared" si="62"/>
        <v/>
      </c>
    </row>
    <row r="134" spans="1:43">
      <c r="B134" s="136" t="s">
        <v>283</v>
      </c>
      <c r="C134" s="167"/>
      <c r="D134" s="168"/>
      <c r="E134" s="169"/>
      <c r="F134" s="170" t="str">
        <f t="shared" si="63"/>
        <v/>
      </c>
      <c r="G134" s="167"/>
      <c r="H134" s="168"/>
      <c r="I134" s="169"/>
      <c r="J134" s="467" t="str">
        <f t="shared" si="64"/>
        <v/>
      </c>
      <c r="K134" s="167"/>
      <c r="L134" s="168"/>
      <c r="M134" s="169"/>
      <c r="N134" s="170" t="str">
        <f t="shared" si="51"/>
        <v/>
      </c>
      <c r="O134" s="167"/>
      <c r="P134" s="168"/>
      <c r="Q134" s="169"/>
      <c r="R134" s="170" t="str">
        <f t="shared" si="65"/>
        <v/>
      </c>
      <c r="S134" s="167"/>
      <c r="T134" s="168"/>
      <c r="U134" s="169"/>
      <c r="V134" s="170" t="str">
        <f t="shared" si="53"/>
        <v/>
      </c>
      <c r="W134" s="167"/>
      <c r="X134" s="168"/>
      <c r="Y134" s="169"/>
      <c r="Z134" s="170" t="str">
        <f t="shared" si="54"/>
        <v/>
      </c>
      <c r="AB134" s="167"/>
      <c r="AC134" s="171"/>
      <c r="AD134" s="172" t="str">
        <f t="shared" si="55"/>
        <v/>
      </c>
      <c r="AF134" s="167"/>
      <c r="AG134" s="171"/>
      <c r="AI134" s="173" t="str">
        <f t="shared" si="56"/>
        <v/>
      </c>
      <c r="AJ134" s="174" t="str">
        <f t="shared" si="57"/>
        <v/>
      </c>
      <c r="AK134" s="172" t="str">
        <f t="shared" si="58"/>
        <v/>
      </c>
      <c r="AL134" s="175" t="str">
        <f t="shared" si="59"/>
        <v/>
      </c>
      <c r="AN134" s="170" t="str">
        <f t="shared" si="60"/>
        <v/>
      </c>
      <c r="AO134" s="170" t="str">
        <f t="shared" si="48"/>
        <v/>
      </c>
      <c r="AP134" s="172" t="str">
        <f t="shared" si="61"/>
        <v/>
      </c>
      <c r="AQ134" s="175" t="str">
        <f t="shared" si="62"/>
        <v/>
      </c>
    </row>
    <row r="135" spans="1:43">
      <c r="B135" s="136" t="s">
        <v>284</v>
      </c>
      <c r="C135" s="167"/>
      <c r="D135" s="168"/>
      <c r="E135" s="169"/>
      <c r="F135" s="170" t="str">
        <f t="shared" si="63"/>
        <v/>
      </c>
      <c r="G135" s="167"/>
      <c r="H135" s="168"/>
      <c r="I135" s="169"/>
      <c r="J135" s="170" t="str">
        <f t="shared" si="64"/>
        <v/>
      </c>
      <c r="K135" s="167"/>
      <c r="L135" s="168"/>
      <c r="M135" s="169"/>
      <c r="N135" s="170" t="str">
        <f t="shared" si="51"/>
        <v/>
      </c>
      <c r="O135" s="167"/>
      <c r="P135" s="168"/>
      <c r="Q135" s="169"/>
      <c r="R135" s="170" t="str">
        <f t="shared" si="65"/>
        <v/>
      </c>
      <c r="S135" s="167"/>
      <c r="T135" s="168"/>
      <c r="U135" s="169"/>
      <c r="V135" s="170" t="str">
        <f t="shared" si="53"/>
        <v/>
      </c>
      <c r="W135" s="167"/>
      <c r="X135" s="168"/>
      <c r="Y135" s="169"/>
      <c r="Z135" s="170" t="str">
        <f t="shared" si="54"/>
        <v/>
      </c>
      <c r="AB135" s="167"/>
      <c r="AC135" s="171"/>
      <c r="AD135" s="172" t="str">
        <f t="shared" si="55"/>
        <v/>
      </c>
      <c r="AF135" s="167"/>
      <c r="AG135" s="171"/>
      <c r="AI135" s="173" t="str">
        <f t="shared" si="56"/>
        <v/>
      </c>
      <c r="AJ135" s="174" t="str">
        <f t="shared" si="57"/>
        <v/>
      </c>
      <c r="AK135" s="172" t="str">
        <f t="shared" si="58"/>
        <v/>
      </c>
      <c r="AL135" s="175" t="str">
        <f t="shared" si="59"/>
        <v/>
      </c>
      <c r="AN135" s="170" t="str">
        <f t="shared" si="60"/>
        <v/>
      </c>
      <c r="AO135" s="170" t="str">
        <f t="shared" si="48"/>
        <v/>
      </c>
      <c r="AP135" s="172" t="str">
        <f t="shared" si="61"/>
        <v/>
      </c>
      <c r="AQ135" s="175" t="str">
        <f t="shared" si="62"/>
        <v/>
      </c>
    </row>
    <row r="136" spans="1:43">
      <c r="B136" s="136" t="s">
        <v>285</v>
      </c>
      <c r="C136" s="167"/>
      <c r="D136" s="168"/>
      <c r="E136" s="169"/>
      <c r="F136" s="170" t="str">
        <f t="shared" si="63"/>
        <v/>
      </c>
      <c r="G136" s="167"/>
      <c r="H136" s="168"/>
      <c r="I136" s="169"/>
      <c r="J136" s="170" t="str">
        <f t="shared" si="64"/>
        <v/>
      </c>
      <c r="K136" s="167"/>
      <c r="L136" s="168"/>
      <c r="M136" s="169"/>
      <c r="N136" s="170" t="str">
        <f t="shared" si="51"/>
        <v/>
      </c>
      <c r="O136" s="167"/>
      <c r="P136" s="168"/>
      <c r="Q136" s="169"/>
      <c r="R136" s="170" t="str">
        <f t="shared" si="65"/>
        <v/>
      </c>
      <c r="S136" s="167"/>
      <c r="T136" s="168"/>
      <c r="U136" s="169"/>
      <c r="V136" s="170" t="str">
        <f t="shared" si="53"/>
        <v/>
      </c>
      <c r="W136" s="167"/>
      <c r="X136" s="168"/>
      <c r="Y136" s="169"/>
      <c r="Z136" s="170" t="str">
        <f t="shared" si="54"/>
        <v/>
      </c>
      <c r="AB136" s="167"/>
      <c r="AC136" s="171"/>
      <c r="AD136" s="172" t="str">
        <f t="shared" si="55"/>
        <v/>
      </c>
      <c r="AF136" s="167"/>
      <c r="AG136" s="171"/>
      <c r="AI136" s="173" t="str">
        <f t="shared" si="56"/>
        <v/>
      </c>
      <c r="AJ136" s="174" t="str">
        <f t="shared" si="57"/>
        <v/>
      </c>
      <c r="AK136" s="172" t="str">
        <f t="shared" si="58"/>
        <v/>
      </c>
      <c r="AL136" s="175" t="str">
        <f t="shared" si="59"/>
        <v/>
      </c>
      <c r="AN136" s="170" t="str">
        <f t="shared" si="60"/>
        <v/>
      </c>
      <c r="AO136" s="170" t="str">
        <f t="shared" si="48"/>
        <v/>
      </c>
      <c r="AP136" s="172" t="str">
        <f t="shared" si="61"/>
        <v/>
      </c>
      <c r="AQ136" s="175" t="str">
        <f t="shared" si="62"/>
        <v/>
      </c>
    </row>
    <row r="137" spans="1:43">
      <c r="B137" s="136" t="s">
        <v>286</v>
      </c>
      <c r="C137" s="167"/>
      <c r="D137" s="168"/>
      <c r="E137" s="169"/>
      <c r="F137" s="170" t="str">
        <f t="shared" si="63"/>
        <v/>
      </c>
      <c r="G137" s="167"/>
      <c r="H137" s="168"/>
      <c r="I137" s="169"/>
      <c r="J137" s="170" t="str">
        <f t="shared" si="64"/>
        <v/>
      </c>
      <c r="K137" s="167"/>
      <c r="L137" s="168"/>
      <c r="M137" s="169"/>
      <c r="N137" s="170" t="str">
        <f t="shared" si="51"/>
        <v/>
      </c>
      <c r="O137" s="167"/>
      <c r="P137" s="168"/>
      <c r="Q137" s="169"/>
      <c r="R137" s="170" t="str">
        <f t="shared" si="65"/>
        <v/>
      </c>
      <c r="S137" s="167"/>
      <c r="T137" s="168"/>
      <c r="U137" s="169"/>
      <c r="V137" s="170" t="str">
        <f t="shared" si="53"/>
        <v/>
      </c>
      <c r="W137" s="167"/>
      <c r="X137" s="168"/>
      <c r="Y137" s="169"/>
      <c r="Z137" s="170" t="str">
        <f t="shared" si="54"/>
        <v/>
      </c>
      <c r="AB137" s="167"/>
      <c r="AC137" s="171"/>
      <c r="AD137" s="172" t="str">
        <f t="shared" si="55"/>
        <v/>
      </c>
      <c r="AF137" s="167"/>
      <c r="AG137" s="171"/>
      <c r="AI137" s="173" t="str">
        <f t="shared" si="56"/>
        <v/>
      </c>
      <c r="AJ137" s="174" t="str">
        <f t="shared" si="57"/>
        <v/>
      </c>
      <c r="AK137" s="172" t="str">
        <f t="shared" si="58"/>
        <v/>
      </c>
      <c r="AL137" s="175" t="str">
        <f t="shared" si="59"/>
        <v/>
      </c>
      <c r="AN137" s="170" t="str">
        <f t="shared" si="60"/>
        <v/>
      </c>
      <c r="AO137" s="170" t="str">
        <f t="shared" si="48"/>
        <v/>
      </c>
      <c r="AP137" s="172" t="str">
        <f t="shared" si="61"/>
        <v/>
      </c>
      <c r="AQ137" s="175" t="str">
        <f t="shared" si="62"/>
        <v/>
      </c>
    </row>
    <row r="138" spans="1:43">
      <c r="B138" s="136" t="s">
        <v>287</v>
      </c>
      <c r="C138" s="167"/>
      <c r="D138" s="168"/>
      <c r="E138" s="169"/>
      <c r="F138" s="170" t="str">
        <f t="shared" si="63"/>
        <v/>
      </c>
      <c r="G138" s="167"/>
      <c r="H138" s="168"/>
      <c r="I138" s="169"/>
      <c r="J138" s="170" t="str">
        <f t="shared" si="64"/>
        <v/>
      </c>
      <c r="K138" s="167"/>
      <c r="L138" s="168"/>
      <c r="M138" s="169"/>
      <c r="N138" s="170" t="str">
        <f t="shared" si="51"/>
        <v/>
      </c>
      <c r="O138" s="167"/>
      <c r="P138" s="168"/>
      <c r="Q138" s="169"/>
      <c r="R138" s="170" t="str">
        <f t="shared" si="65"/>
        <v/>
      </c>
      <c r="S138" s="167"/>
      <c r="T138" s="168"/>
      <c r="U138" s="169"/>
      <c r="V138" s="170" t="str">
        <f t="shared" si="53"/>
        <v/>
      </c>
      <c r="W138" s="167"/>
      <c r="X138" s="168"/>
      <c r="Y138" s="169"/>
      <c r="Z138" s="170" t="str">
        <f t="shared" si="54"/>
        <v/>
      </c>
      <c r="AB138" s="167"/>
      <c r="AC138" s="171"/>
      <c r="AD138" s="172" t="str">
        <f t="shared" si="55"/>
        <v/>
      </c>
      <c r="AF138" s="167"/>
      <c r="AG138" s="171"/>
      <c r="AI138" s="173" t="str">
        <f t="shared" si="56"/>
        <v/>
      </c>
      <c r="AJ138" s="174" t="str">
        <f t="shared" si="57"/>
        <v/>
      </c>
      <c r="AK138" s="172" t="str">
        <f t="shared" si="58"/>
        <v/>
      </c>
      <c r="AL138" s="175" t="str">
        <f t="shared" si="59"/>
        <v/>
      </c>
      <c r="AN138" s="170" t="str">
        <f t="shared" si="60"/>
        <v/>
      </c>
      <c r="AO138" s="170" t="str">
        <f t="shared" si="48"/>
        <v/>
      </c>
      <c r="AP138" s="172" t="str">
        <f t="shared" si="61"/>
        <v/>
      </c>
      <c r="AQ138" s="175" t="str">
        <f t="shared" si="62"/>
        <v/>
      </c>
    </row>
    <row r="139" spans="1:43" ht="18.75" thickBot="1">
      <c r="B139" s="176" t="s">
        <v>288</v>
      </c>
      <c r="C139" s="177"/>
      <c r="D139" s="178"/>
      <c r="E139" s="179"/>
      <c r="F139" s="180" t="str">
        <f t="shared" si="63"/>
        <v/>
      </c>
      <c r="G139" s="177"/>
      <c r="H139" s="178"/>
      <c r="I139" s="179"/>
      <c r="J139" s="180" t="str">
        <f t="shared" si="64"/>
        <v/>
      </c>
      <c r="K139" s="177"/>
      <c r="L139" s="178"/>
      <c r="M139" s="179"/>
      <c r="N139" s="180" t="str">
        <f t="shared" si="51"/>
        <v/>
      </c>
      <c r="O139" s="177"/>
      <c r="P139" s="178"/>
      <c r="Q139" s="179"/>
      <c r="R139" s="180" t="str">
        <f t="shared" si="65"/>
        <v/>
      </c>
      <c r="S139" s="177"/>
      <c r="T139" s="178"/>
      <c r="U139" s="179"/>
      <c r="V139" s="180" t="str">
        <f t="shared" si="53"/>
        <v/>
      </c>
      <c r="W139" s="177"/>
      <c r="X139" s="178"/>
      <c r="Y139" s="179"/>
      <c r="Z139" s="180" t="str">
        <f t="shared" si="54"/>
        <v/>
      </c>
      <c r="AB139" s="177"/>
      <c r="AC139" s="181"/>
      <c r="AD139" s="182" t="str">
        <f t="shared" si="55"/>
        <v/>
      </c>
      <c r="AF139" s="177"/>
      <c r="AG139" s="181"/>
      <c r="AI139" s="183" t="str">
        <f t="shared" si="56"/>
        <v/>
      </c>
      <c r="AJ139" s="184" t="str">
        <f t="shared" si="57"/>
        <v/>
      </c>
      <c r="AK139" s="182" t="str">
        <f t="shared" si="58"/>
        <v/>
      </c>
      <c r="AL139" s="185" t="str">
        <f t="shared" si="59"/>
        <v/>
      </c>
      <c r="AN139" s="180" t="str">
        <f t="shared" si="60"/>
        <v/>
      </c>
      <c r="AO139" s="180" t="str">
        <f t="shared" si="48"/>
        <v/>
      </c>
      <c r="AP139" s="182" t="str">
        <f t="shared" si="61"/>
        <v/>
      </c>
      <c r="AQ139" s="185" t="str">
        <f t="shared" si="62"/>
        <v/>
      </c>
    </row>
    <row r="140" spans="1:43" ht="18.75" thickBot="1">
      <c r="B140" s="149" t="s">
        <v>334</v>
      </c>
      <c r="C140" s="150" cm="1">
        <f t="array" ref="C140">IFERROR(LOOKUP(2,1/(C128:C139&lt;&gt;""),C128:C139),"")</f>
        <v>19</v>
      </c>
      <c r="D140" s="150" cm="1">
        <f t="array" ref="D140">IFERROR(LOOKUP(2,1/(D128:D139&lt;&gt;""),D128:D139),"")</f>
        <v>48</v>
      </c>
      <c r="E140" s="150" cm="1">
        <f t="array" ref="E140">IFERROR(LOOKUP(2,1/(E128:E139&lt;&gt;""),E128:E139),"")</f>
        <v>4</v>
      </c>
      <c r="F140" s="150" cm="1">
        <f t="array" ref="F140">IFERROR(LOOKUP(2,1/(F128:F139&lt;&gt;""),F128:F139),"")</f>
        <v>71</v>
      </c>
      <c r="G140" s="150" cm="1">
        <f t="array" ref="G140">IFERROR(LOOKUP(2,1/(G128:G139&lt;&gt;""),G128:G139),"")</f>
        <v>6</v>
      </c>
      <c r="H140" s="150" cm="1">
        <f t="array" ref="H140">IFERROR(LOOKUP(2,1/(H128:H139&lt;&gt;""),H128:H139),"")</f>
        <v>3</v>
      </c>
      <c r="I140" s="150" cm="1">
        <f t="array" ref="I140">IFERROR(LOOKUP(2,1/(I128:I139&lt;&gt;""),I128:I139),"")</f>
        <v>0</v>
      </c>
      <c r="J140" s="150" cm="1">
        <f t="array" ref="J140">IFERROR(LOOKUP(2,1/(J128:J139&lt;&gt;""),J128:J139),"")</f>
        <v>9</v>
      </c>
      <c r="K140" s="150" cm="1">
        <f t="array" ref="K140">IFERROR(LOOKUP(2,1/(K128:K139&lt;&gt;""),K128:K139),"")</f>
        <v>393</v>
      </c>
      <c r="L140" s="150" cm="1">
        <f t="array" ref="L140">IFERROR(LOOKUP(2,1/(L128:L139&lt;&gt;""),L128:L139),"")</f>
        <v>161</v>
      </c>
      <c r="M140" s="150" cm="1">
        <f t="array" ref="M140">IFERROR(LOOKUP(2,1/(M128:M139&lt;&gt;""),M128:M139),"")</f>
        <v>7</v>
      </c>
      <c r="N140" s="150" cm="1">
        <f t="array" ref="N140">IFERROR(LOOKUP(2,1/(N128:N139&lt;&gt;""),N128:N139),"")</f>
        <v>561</v>
      </c>
      <c r="O140" s="150" cm="1">
        <f t="array" ref="O140">IFERROR(LOOKUP(2,1/(O128:O139&lt;&gt;""),O128:O139),"")</f>
        <v>144</v>
      </c>
      <c r="P140" s="150" cm="1">
        <f t="array" ref="P140">IFERROR(LOOKUP(2,1/(P128:P139&lt;&gt;""),P128:P139),"")</f>
        <v>18</v>
      </c>
      <c r="Q140" s="150" cm="1">
        <f t="array" ref="Q140">IFERROR(LOOKUP(2,1/(Q128:Q139&lt;&gt;""),Q128:Q139),"")</f>
        <v>0</v>
      </c>
      <c r="R140" s="150" cm="1">
        <f t="array" ref="R140">IFERROR(LOOKUP(2,1/(R128:R139&lt;&gt;""),R128:R139),"")</f>
        <v>162</v>
      </c>
      <c r="S140" s="150" cm="1">
        <f t="array" ref="S140">IFERROR(LOOKUP(2,1/(S128:S139&lt;&gt;""),S128:S139),"")</f>
        <v>0</v>
      </c>
      <c r="T140" s="150" cm="1">
        <f t="array" ref="T140">IFERROR(LOOKUP(2,1/(T128:T139&lt;&gt;""),T128:T139),"")</f>
        <v>0</v>
      </c>
      <c r="U140" s="150" cm="1">
        <f t="array" ref="U140">IFERROR(LOOKUP(2,1/(U128:U139&lt;&gt;""),U128:U139),"")</f>
        <v>0</v>
      </c>
      <c r="V140" s="150" t="str" cm="1">
        <f t="array" ref="V140">IFERROR(LOOKUP(2,1/(V128:V139&lt;&gt;""),V128:V139),"")</f>
        <v/>
      </c>
      <c r="W140" s="150" cm="1">
        <f t="array" ref="W140">IFERROR(LOOKUP(2,1/(W128:W139&lt;&gt;""),W128:W139),"")</f>
        <v>0</v>
      </c>
      <c r="X140" s="150" cm="1">
        <f t="array" ref="X140">IFERROR(LOOKUP(2,1/(X128:X139&lt;&gt;""),X128:X139),"")</f>
        <v>0</v>
      </c>
      <c r="Y140" s="150" cm="1">
        <f t="array" ref="Y140">IFERROR(LOOKUP(2,1/(Y128:Y139&lt;&gt;""),Y128:Y139),"")</f>
        <v>0</v>
      </c>
      <c r="Z140" s="150" t="str" cm="1">
        <f t="array" ref="Z140">IFERROR(LOOKUP(2,1/(Z128:Z139&lt;&gt;""),Z128:Z139),"")</f>
        <v/>
      </c>
      <c r="AB140" s="150" cm="1">
        <f t="array" ref="AB140">IFERROR(LOOKUP(2,1/(AB128:AB139&lt;&gt;""),AB128:AB139),"")</f>
        <v>62</v>
      </c>
      <c r="AC140" s="150" cm="1">
        <f t="array" ref="AC140">IFERROR(LOOKUP(2,1/(AC128:AC139&lt;&gt;""),AC128:AC139),"")</f>
        <v>7</v>
      </c>
      <c r="AD140" s="186" cm="1">
        <f t="array" ref="AD140">IFERROR(LOOKUP(2,1/(AD128:AD139&lt;&gt;""),AD128:AD139),"")</f>
        <v>69</v>
      </c>
      <c r="AF140" s="150" t="str" cm="1">
        <f t="array" ref="AF140">IFERROR(LOOKUP(2,1/(AF128:AF139&lt;&gt;""),AF128:AF139),"")</f>
        <v/>
      </c>
      <c r="AG140" s="150" t="str">
        <f>IFERROR(LOOKUP(2,1/(AG128:AG139&lt;&gt;""),AG128:AG139),"")</f>
        <v/>
      </c>
      <c r="AI140" s="150" cm="1">
        <f t="array" ref="AI140">IFERROR(LOOKUP(2,1/(AI128:AI139&lt;&gt;""),AI128:AI139),"")</f>
        <v>632</v>
      </c>
      <c r="AJ140" s="150" cm="1">
        <f t="array" ref="AJ140">IFERROR(LOOKUP(2,1/(AJ128:AJ139&lt;&gt;""),AJ128:AJ139),"")</f>
        <v>171</v>
      </c>
      <c r="AK140" s="186" cm="1">
        <f t="array" ref="AK140">IFERROR(LOOKUP(2,1/(AK128:AK139&lt;&gt;""),AK128:AK139),"")</f>
        <v>803</v>
      </c>
      <c r="AL140" s="187" cm="1">
        <f t="array" ref="AL140">IFERROR(LOOKUP(2,1/(AL128:AL139&lt;&gt;""),AL128:AL139),"")</f>
        <v>0.21295143212951431</v>
      </c>
      <c r="AN140" s="150" cm="1">
        <f t="array" ref="AN140">IFERROR(LOOKUP(2,1/(AN128:AN139&lt;&gt;""),AN128:AN139),"")</f>
        <v>71</v>
      </c>
      <c r="AO140" s="150" cm="1">
        <f t="array" ref="AO140">IFERROR(LOOKUP(2,1/(AO128:AO139&lt;&gt;""),AO128:AO139),"")</f>
        <v>9</v>
      </c>
      <c r="AP140" s="186" cm="1">
        <f t="array" ref="AP140">IFERROR(LOOKUP(2,1/(AP128:AP139&lt;&gt;""),AP128:AP139),"")</f>
        <v>80</v>
      </c>
      <c r="AQ140" s="187" cm="1">
        <f t="array" ref="AQ140">IFERROR(LOOKUP(2,1/(AQ128:AQ139&lt;&gt;""),AQ128:AQ139),"")</f>
        <v>0.1125</v>
      </c>
    </row>
    <row r="141" spans="1:43" ht="16.5" customHeight="1">
      <c r="B141" s="1937" t="s">
        <v>366</v>
      </c>
      <c r="C141" s="1937"/>
      <c r="D141" s="1937"/>
      <c r="E141" s="1937"/>
      <c r="F141" s="1937"/>
      <c r="G141" s="1937"/>
      <c r="H141" s="1937"/>
      <c r="I141" s="1937"/>
      <c r="AB141" s="1937" t="s">
        <v>367</v>
      </c>
      <c r="AC141" s="1937"/>
      <c r="AD141" s="1937"/>
      <c r="AF141" s="1937" t="s">
        <v>368</v>
      </c>
      <c r="AG141" s="1937"/>
      <c r="AH141" s="1937"/>
    </row>
    <row r="142" spans="1:43" ht="16.5" customHeight="1">
      <c r="B142" s="1937"/>
      <c r="C142" s="1937"/>
      <c r="D142" s="1937"/>
      <c r="E142" s="1937"/>
      <c r="F142" s="1937"/>
      <c r="G142" s="1937"/>
      <c r="H142" s="1937"/>
      <c r="I142" s="1937"/>
      <c r="AB142" s="1937"/>
      <c r="AC142" s="1937"/>
      <c r="AD142" s="1937"/>
      <c r="AF142" s="1937"/>
      <c r="AG142" s="1937"/>
      <c r="AH142" s="1937"/>
    </row>
    <row r="143" spans="1:43">
      <c r="AB143" s="1937"/>
      <c r="AC143" s="1937"/>
      <c r="AD143" s="1937"/>
      <c r="AF143" s="1937"/>
      <c r="AG143" s="1937"/>
      <c r="AH143" s="1937"/>
    </row>
    <row r="144" spans="1:43" ht="18.75" thickBot="1">
      <c r="AB144" s="1"/>
      <c r="AC144" s="1"/>
      <c r="AD144" s="1"/>
      <c r="AF144" s="1937"/>
      <c r="AG144" s="1937"/>
      <c r="AH144" s="1937"/>
    </row>
    <row r="145" spans="1:27" ht="21.75" thickBot="1">
      <c r="A145" s="1933">
        <v>2024</v>
      </c>
      <c r="B145" s="1950" t="s">
        <v>369</v>
      </c>
      <c r="C145" s="1951"/>
      <c r="D145" s="1951"/>
      <c r="E145" s="1951"/>
      <c r="F145" s="1951"/>
      <c r="G145" s="1951"/>
      <c r="H145" s="1951"/>
      <c r="I145" s="1951"/>
      <c r="J145" s="1951"/>
      <c r="K145" s="1951"/>
      <c r="L145" s="1951"/>
      <c r="M145" s="1951"/>
      <c r="N145" s="1951"/>
      <c r="O145" s="1951"/>
      <c r="P145" s="1951"/>
      <c r="Q145" s="1951"/>
      <c r="R145" s="1951"/>
      <c r="S145" s="1951"/>
      <c r="T145" s="1951"/>
      <c r="U145" s="1951"/>
      <c r="V145" s="1951"/>
      <c r="W145" s="1951"/>
      <c r="X145" s="1951"/>
      <c r="Y145" s="1952"/>
    </row>
    <row r="146" spans="1:27" ht="19.5" thickBot="1">
      <c r="A146" s="1933"/>
      <c r="B146" s="1953" t="s">
        <v>370</v>
      </c>
      <c r="C146" s="1954"/>
      <c r="D146" s="1954"/>
      <c r="E146" s="1954"/>
      <c r="F146" s="1954"/>
      <c r="G146" s="1954"/>
      <c r="H146" s="1954"/>
      <c r="I146" s="1955"/>
      <c r="K146" s="1956" t="s">
        <v>357</v>
      </c>
      <c r="L146" s="1957"/>
      <c r="M146" s="1957"/>
      <c r="N146" s="1957"/>
      <c r="O146" s="1957"/>
      <c r="P146" s="1957"/>
      <c r="Q146" s="1958"/>
      <c r="V146" s="1953" t="s">
        <v>371</v>
      </c>
      <c r="W146" s="1954"/>
      <c r="X146" s="1954"/>
      <c r="Y146" s="1955"/>
    </row>
    <row r="147" spans="1:27" ht="45.75" customHeight="1" thickBot="1">
      <c r="A147" s="154"/>
      <c r="B147" s="1948" t="s">
        <v>121</v>
      </c>
      <c r="C147" s="1945" t="s">
        <v>372</v>
      </c>
      <c r="D147" s="1945"/>
      <c r="E147" s="1945"/>
      <c r="F147" s="1945" t="s">
        <v>373</v>
      </c>
      <c r="G147" s="1945"/>
      <c r="H147" s="1945"/>
      <c r="I147" s="1944" t="s">
        <v>374</v>
      </c>
      <c r="J147" s="154"/>
      <c r="K147" s="1945" t="s">
        <v>372</v>
      </c>
      <c r="L147" s="1945"/>
      <c r="M147" s="1945"/>
      <c r="N147" s="1945" t="s">
        <v>373</v>
      </c>
      <c r="O147" s="1945"/>
      <c r="P147" s="1945"/>
      <c r="Q147" s="1944" t="s">
        <v>374</v>
      </c>
      <c r="R147" s="154"/>
      <c r="S147" s="1945" t="s">
        <v>375</v>
      </c>
      <c r="T147" s="1945" t="s">
        <v>376</v>
      </c>
      <c r="U147" s="154"/>
      <c r="V147" s="1946" t="s">
        <v>377</v>
      </c>
      <c r="W147" s="1946" t="s">
        <v>378</v>
      </c>
      <c r="X147" s="1946" t="s">
        <v>379</v>
      </c>
      <c r="Y147" s="1946" t="s">
        <v>380</v>
      </c>
      <c r="AA147" s="154"/>
    </row>
    <row r="148" spans="1:27" ht="26.25" customHeight="1">
      <c r="A148" s="880" t="s">
        <v>338</v>
      </c>
      <c r="B148" s="1949"/>
      <c r="C148" s="149" t="s">
        <v>355</v>
      </c>
      <c r="D148" s="149" t="s">
        <v>356</v>
      </c>
      <c r="E148" s="399" t="s">
        <v>334</v>
      </c>
      <c r="F148" s="149" t="s">
        <v>355</v>
      </c>
      <c r="G148" s="149" t="s">
        <v>356</v>
      </c>
      <c r="H148" s="149" t="s">
        <v>334</v>
      </c>
      <c r="I148" s="1944"/>
      <c r="J148" s="128"/>
      <c r="K148" s="127" t="s">
        <v>355</v>
      </c>
      <c r="L148" s="127" t="s">
        <v>356</v>
      </c>
      <c r="M148" s="127" t="s">
        <v>334</v>
      </c>
      <c r="N148" s="127" t="s">
        <v>355</v>
      </c>
      <c r="O148" s="127" t="s">
        <v>356</v>
      </c>
      <c r="P148" s="127" t="s">
        <v>334</v>
      </c>
      <c r="Q148" s="1944"/>
      <c r="R148" s="128"/>
      <c r="S148" s="1945"/>
      <c r="T148" s="1945"/>
      <c r="U148" s="128"/>
      <c r="V148" s="1947"/>
      <c r="W148" s="1947"/>
      <c r="X148" s="1947"/>
      <c r="Y148" s="1964"/>
      <c r="Z148" s="128"/>
      <c r="AA148" s="128"/>
    </row>
    <row r="149" spans="1:27">
      <c r="A149" s="882" t="s">
        <v>381</v>
      </c>
      <c r="B149" s="155" t="s">
        <v>278</v>
      </c>
      <c r="C149" s="398">
        <v>53</v>
      </c>
      <c r="D149" s="397">
        <v>4</v>
      </c>
      <c r="E149" s="188">
        <f>IF(SUM(C149:D149)=0,"",SUM(C149:D149))</f>
        <v>57</v>
      </c>
      <c r="F149" s="1821">
        <v>65</v>
      </c>
      <c r="G149" s="1822">
        <v>16</v>
      </c>
      <c r="H149" s="188">
        <f>IF(SUM(F149:G149)=0,"",SUM(F149:G149))</f>
        <v>81</v>
      </c>
      <c r="I149" s="216">
        <f>IFERROR(H149/AP128,"")</f>
        <v>1.0125</v>
      </c>
      <c r="K149" s="133">
        <v>353</v>
      </c>
      <c r="L149" s="398">
        <v>161</v>
      </c>
      <c r="M149" s="188">
        <f>IF(SUM(K149:L149)=0,"",SUM(K149:L149))</f>
        <v>514</v>
      </c>
      <c r="N149" s="1821">
        <v>522</v>
      </c>
      <c r="O149" s="1822">
        <v>320</v>
      </c>
      <c r="P149" s="188">
        <f>IF(SUM(N149:O149)=0,"",SUM(N149:O149))</f>
        <v>842</v>
      </c>
      <c r="Q149" s="220">
        <f>IFERROR(P149/(SUM(N128,R128,V128,Z128,AD128)),"")</f>
        <v>1.0631313131313131</v>
      </c>
      <c r="S149" s="159">
        <f>IF(SUM(P149,H149)=0,"",SUM(P149,H149))</f>
        <v>923</v>
      </c>
      <c r="T149" s="189">
        <f>IFERROR(S149/AK128,"")</f>
        <v>1.1494396014943959</v>
      </c>
      <c r="V149" s="190">
        <v>30</v>
      </c>
      <c r="W149" s="469">
        <v>0</v>
      </c>
      <c r="X149" s="190">
        <v>0</v>
      </c>
      <c r="Y149" s="191">
        <f>IFERROR(X149/V149, "")</f>
        <v>0</v>
      </c>
      <c r="AA149" s="129" t="s">
        <v>384</v>
      </c>
    </row>
    <row r="150" spans="1:27">
      <c r="A150" t="s">
        <v>264</v>
      </c>
      <c r="B150" s="136" t="s">
        <v>279</v>
      </c>
      <c r="C150" s="139"/>
      <c r="D150" s="402"/>
      <c r="E150" s="192" t="str">
        <f>IF(SUM(C150:D150)=0,"",SUM(C150:D150))</f>
        <v/>
      </c>
      <c r="F150" s="139"/>
      <c r="G150" s="137"/>
      <c r="H150" s="192" t="str">
        <f t="shared" ref="H150:H160" si="66">IF(SUM(F150:G150)=0,"",SUM(F150:G150))</f>
        <v/>
      </c>
      <c r="I150" s="217" t="str">
        <f>IFERROR(H150/AP129,"")</f>
        <v/>
      </c>
      <c r="K150" s="137"/>
      <c r="L150" s="474"/>
      <c r="M150" s="192" t="str">
        <f t="shared" ref="M150:M160" si="67">IF(SUM(K150:L150)=0,"",SUM(K150:L150))</f>
        <v/>
      </c>
      <c r="N150" s="194"/>
      <c r="O150" s="194"/>
      <c r="P150" s="192" t="str">
        <f t="shared" ref="P150:P160" si="68">IF(SUM(N150:O150)=0,"",SUM(N150:O150))</f>
        <v/>
      </c>
      <c r="Q150" s="221" t="str">
        <f t="shared" ref="Q150:Q160" si="69">IFERROR(P150/(SUM(N129,R129,V129,Z129,AD129)),"")</f>
        <v/>
      </c>
      <c r="S150" s="170" t="str">
        <f t="shared" ref="S150:S160" si="70">IF(SUM(P150,H150)=0,"",SUM(P150,H150))</f>
        <v/>
      </c>
      <c r="T150" s="193" t="str">
        <f t="shared" ref="T150:T160" si="71">IFERROR(S150/AK129,"")</f>
        <v/>
      </c>
      <c r="V150" s="194"/>
      <c r="W150" s="470"/>
      <c r="X150" s="194"/>
      <c r="Y150" s="195" t="str">
        <f t="shared" ref="Y150" si="72">IFERROR(X150/V150, "")</f>
        <v/>
      </c>
      <c r="AA150" s="129" t="s">
        <v>384</v>
      </c>
    </row>
    <row r="151" spans="1:27">
      <c r="B151" s="136" t="s">
        <v>280</v>
      </c>
      <c r="C151" s="139"/>
      <c r="D151" s="138"/>
      <c r="E151" s="192" t="str">
        <f t="shared" ref="E151:E160" si="73">IF(SUM(C151:D151)=0,"",SUM(C151:D151))</f>
        <v/>
      </c>
      <c r="F151" s="139"/>
      <c r="G151" s="137"/>
      <c r="H151" s="192" t="str">
        <f t="shared" si="66"/>
        <v/>
      </c>
      <c r="I151" s="217" t="str">
        <f>IFERROR(H151/AP130,"")</f>
        <v/>
      </c>
      <c r="K151" s="137"/>
      <c r="L151" s="139"/>
      <c r="M151" s="192" t="str">
        <f t="shared" si="67"/>
        <v/>
      </c>
      <c r="N151" s="194"/>
      <c r="O151" s="194"/>
      <c r="P151" s="192" t="str">
        <f t="shared" si="68"/>
        <v/>
      </c>
      <c r="Q151" s="221" t="str">
        <f t="shared" si="69"/>
        <v/>
      </c>
      <c r="S151" s="170" t="str">
        <f t="shared" si="70"/>
        <v/>
      </c>
      <c r="T151" s="193" t="str">
        <f t="shared" si="71"/>
        <v/>
      </c>
      <c r="V151" s="194"/>
      <c r="W151" s="470"/>
      <c r="X151" s="194"/>
      <c r="Y151" s="195" t="str">
        <f>IFERROR(X151/V151, "")</f>
        <v/>
      </c>
      <c r="AA151" s="129" t="s">
        <v>384</v>
      </c>
    </row>
    <row r="152" spans="1:27">
      <c r="B152" s="136" t="s">
        <v>281</v>
      </c>
      <c r="C152" s="139"/>
      <c r="D152" s="138"/>
      <c r="E152" s="192" t="str">
        <f t="shared" si="73"/>
        <v/>
      </c>
      <c r="F152" s="139"/>
      <c r="G152" s="137"/>
      <c r="H152" s="192" t="str">
        <f t="shared" si="66"/>
        <v/>
      </c>
      <c r="I152" s="217" t="str">
        <f t="shared" ref="I152:I160" si="74">IFERROR(H152/AP131,"")</f>
        <v/>
      </c>
      <c r="K152" s="137"/>
      <c r="L152" s="139"/>
      <c r="M152" s="192" t="str">
        <f t="shared" si="67"/>
        <v/>
      </c>
      <c r="N152" s="194"/>
      <c r="O152" s="194"/>
      <c r="P152" s="192" t="str">
        <f t="shared" si="68"/>
        <v/>
      </c>
      <c r="Q152" s="221" t="str">
        <f t="shared" si="69"/>
        <v/>
      </c>
      <c r="S152" s="170" t="str">
        <f t="shared" si="70"/>
        <v/>
      </c>
      <c r="T152" s="193" t="str">
        <f t="shared" si="71"/>
        <v/>
      </c>
      <c r="V152" s="194"/>
      <c r="W152" s="470"/>
      <c r="X152" s="194"/>
      <c r="Y152" s="195" t="str">
        <f t="shared" ref="Y152:Y160" si="75">IFERROR(X152/V152, "")</f>
        <v/>
      </c>
      <c r="AA152" s="129" t="s">
        <v>384</v>
      </c>
    </row>
    <row r="153" spans="1:27">
      <c r="B153" s="136" t="s">
        <v>132</v>
      </c>
      <c r="C153" s="139"/>
      <c r="D153" s="138"/>
      <c r="E153" s="192" t="str">
        <f t="shared" si="73"/>
        <v/>
      </c>
      <c r="F153" s="139"/>
      <c r="G153" s="137"/>
      <c r="H153" s="192" t="str">
        <f t="shared" si="66"/>
        <v/>
      </c>
      <c r="I153" s="217" t="str">
        <f t="shared" si="74"/>
        <v/>
      </c>
      <c r="K153" s="137"/>
      <c r="L153" s="139"/>
      <c r="M153" s="192" t="str">
        <f t="shared" si="67"/>
        <v/>
      </c>
      <c r="N153" s="194"/>
      <c r="O153" s="194"/>
      <c r="P153" s="192" t="str">
        <f t="shared" si="68"/>
        <v/>
      </c>
      <c r="Q153" s="221" t="str">
        <f t="shared" si="69"/>
        <v/>
      </c>
      <c r="S153" s="170" t="str">
        <f t="shared" si="70"/>
        <v/>
      </c>
      <c r="T153" s="193" t="str">
        <f t="shared" si="71"/>
        <v/>
      </c>
      <c r="V153" s="194"/>
      <c r="W153" s="470"/>
      <c r="X153" s="194"/>
      <c r="Y153" s="195" t="str">
        <f t="shared" si="75"/>
        <v/>
      </c>
      <c r="AA153" s="129" t="s">
        <v>384</v>
      </c>
    </row>
    <row r="154" spans="1:27">
      <c r="B154" s="136" t="s">
        <v>282</v>
      </c>
      <c r="C154" s="139"/>
      <c r="D154" s="138"/>
      <c r="E154" s="192" t="str">
        <f t="shared" si="73"/>
        <v/>
      </c>
      <c r="F154" s="139"/>
      <c r="G154" s="137"/>
      <c r="H154" s="192" t="str">
        <f t="shared" si="66"/>
        <v/>
      </c>
      <c r="I154" s="217" t="str">
        <f t="shared" si="74"/>
        <v/>
      </c>
      <c r="K154" s="137"/>
      <c r="L154" s="139"/>
      <c r="M154" s="192" t="str">
        <f t="shared" si="67"/>
        <v/>
      </c>
      <c r="N154" s="194"/>
      <c r="O154" s="194"/>
      <c r="P154" s="192" t="str">
        <f t="shared" si="68"/>
        <v/>
      </c>
      <c r="Q154" s="221" t="str">
        <f t="shared" si="69"/>
        <v/>
      </c>
      <c r="S154" s="170" t="str">
        <f t="shared" si="70"/>
        <v/>
      </c>
      <c r="T154" s="193" t="str">
        <f t="shared" si="71"/>
        <v/>
      </c>
      <c r="V154" s="194"/>
      <c r="W154" s="470"/>
      <c r="X154" s="194"/>
      <c r="Y154" s="195" t="str">
        <f t="shared" si="75"/>
        <v/>
      </c>
      <c r="AA154" s="129" t="s">
        <v>384</v>
      </c>
    </row>
    <row r="155" spans="1:27">
      <c r="B155" s="136" t="s">
        <v>283</v>
      </c>
      <c r="C155" s="139"/>
      <c r="D155" s="138"/>
      <c r="E155" s="192" t="str">
        <f t="shared" si="73"/>
        <v/>
      </c>
      <c r="F155" s="139"/>
      <c r="G155" s="137"/>
      <c r="H155" s="192" t="str">
        <f t="shared" si="66"/>
        <v/>
      </c>
      <c r="I155" s="217" t="str">
        <f t="shared" si="74"/>
        <v/>
      </c>
      <c r="K155" s="137"/>
      <c r="L155" s="139"/>
      <c r="M155" s="192" t="str">
        <f t="shared" si="67"/>
        <v/>
      </c>
      <c r="N155" s="194"/>
      <c r="O155" s="194"/>
      <c r="P155" s="192" t="str">
        <f t="shared" si="68"/>
        <v/>
      </c>
      <c r="Q155" s="221" t="str">
        <f t="shared" si="69"/>
        <v/>
      </c>
      <c r="S155" s="170" t="str">
        <f t="shared" si="70"/>
        <v/>
      </c>
      <c r="T155" s="193" t="str">
        <f t="shared" si="71"/>
        <v/>
      </c>
      <c r="V155" s="194"/>
      <c r="W155" s="470"/>
      <c r="X155" s="194"/>
      <c r="Y155" s="195" t="str">
        <f t="shared" si="75"/>
        <v/>
      </c>
      <c r="AA155" s="129" t="s">
        <v>384</v>
      </c>
    </row>
    <row r="156" spans="1:27">
      <c r="B156" s="136" t="s">
        <v>284</v>
      </c>
      <c r="C156" s="139"/>
      <c r="D156" s="168"/>
      <c r="E156" s="192" t="str">
        <f t="shared" si="73"/>
        <v/>
      </c>
      <c r="F156" s="139"/>
      <c r="G156" s="168"/>
      <c r="H156" s="192" t="str">
        <f t="shared" si="66"/>
        <v/>
      </c>
      <c r="I156" s="217" t="str">
        <f t="shared" si="74"/>
        <v/>
      </c>
      <c r="K156" s="137"/>
      <c r="L156" s="473"/>
      <c r="M156" s="192" t="str">
        <f t="shared" si="67"/>
        <v/>
      </c>
      <c r="N156" s="194"/>
      <c r="O156" s="468"/>
      <c r="P156" s="192" t="str">
        <f t="shared" si="68"/>
        <v/>
      </c>
      <c r="Q156" s="221" t="str">
        <f t="shared" si="69"/>
        <v/>
      </c>
      <c r="S156" s="170" t="str">
        <f t="shared" si="70"/>
        <v/>
      </c>
      <c r="T156" s="193" t="str">
        <f t="shared" si="71"/>
        <v/>
      </c>
      <c r="V156" s="194"/>
      <c r="W156" s="471"/>
      <c r="X156" s="194"/>
      <c r="Y156" s="195" t="str">
        <f t="shared" si="75"/>
        <v/>
      </c>
      <c r="AA156" s="129" t="s">
        <v>384</v>
      </c>
    </row>
    <row r="157" spans="1:27">
      <c r="B157" s="136" t="s">
        <v>285</v>
      </c>
      <c r="C157" s="139"/>
      <c r="D157" s="138"/>
      <c r="E157" s="192" t="str">
        <f t="shared" si="73"/>
        <v/>
      </c>
      <c r="F157" s="139"/>
      <c r="G157" s="137"/>
      <c r="H157" s="192" t="str">
        <f t="shared" si="66"/>
        <v/>
      </c>
      <c r="I157" s="217" t="str">
        <f t="shared" si="74"/>
        <v/>
      </c>
      <c r="K157" s="137"/>
      <c r="L157" s="139"/>
      <c r="M157" s="192" t="str">
        <f t="shared" si="67"/>
        <v/>
      </c>
      <c r="N157" s="194"/>
      <c r="O157" s="194"/>
      <c r="P157" s="192" t="str">
        <f t="shared" si="68"/>
        <v/>
      </c>
      <c r="Q157" s="221" t="str">
        <f t="shared" si="69"/>
        <v/>
      </c>
      <c r="S157" s="170" t="str">
        <f t="shared" si="70"/>
        <v/>
      </c>
      <c r="T157" s="193" t="str">
        <f t="shared" si="71"/>
        <v/>
      </c>
      <c r="V157" s="194"/>
      <c r="W157" s="470"/>
      <c r="X157" s="194"/>
      <c r="Y157" s="195" t="str">
        <f t="shared" si="75"/>
        <v/>
      </c>
      <c r="AA157" s="129" t="s">
        <v>384</v>
      </c>
    </row>
    <row r="158" spans="1:27">
      <c r="B158" s="136" t="s">
        <v>286</v>
      </c>
      <c r="C158" s="139"/>
      <c r="D158" s="138"/>
      <c r="E158" s="192" t="str">
        <f t="shared" si="73"/>
        <v/>
      </c>
      <c r="F158" s="139"/>
      <c r="G158" s="137"/>
      <c r="H158" s="192" t="str">
        <f t="shared" si="66"/>
        <v/>
      </c>
      <c r="I158" s="217" t="str">
        <f t="shared" si="74"/>
        <v/>
      </c>
      <c r="K158" s="137"/>
      <c r="L158" s="139"/>
      <c r="M158" s="192" t="str">
        <f t="shared" si="67"/>
        <v/>
      </c>
      <c r="N158" s="194"/>
      <c r="O158" s="194"/>
      <c r="P158" s="192" t="str">
        <f t="shared" si="68"/>
        <v/>
      </c>
      <c r="Q158" s="221" t="str">
        <f t="shared" si="69"/>
        <v/>
      </c>
      <c r="S158" s="170" t="str">
        <f t="shared" si="70"/>
        <v/>
      </c>
      <c r="T158" s="193" t="str">
        <f t="shared" si="71"/>
        <v/>
      </c>
      <c r="V158" s="194"/>
      <c r="W158" s="470"/>
      <c r="X158" s="194"/>
      <c r="Y158" s="195" t="str">
        <f t="shared" si="75"/>
        <v/>
      </c>
      <c r="AA158" s="129" t="s">
        <v>384</v>
      </c>
    </row>
    <row r="159" spans="1:27">
      <c r="B159" s="136" t="s">
        <v>287</v>
      </c>
      <c r="C159" s="139"/>
      <c r="D159" s="138"/>
      <c r="E159" s="192" t="str">
        <f t="shared" si="73"/>
        <v/>
      </c>
      <c r="F159" s="139"/>
      <c r="G159" s="137"/>
      <c r="H159" s="192" t="str">
        <f t="shared" si="66"/>
        <v/>
      </c>
      <c r="I159" s="217" t="str">
        <f t="shared" si="74"/>
        <v/>
      </c>
      <c r="K159" s="137"/>
      <c r="L159" s="139"/>
      <c r="M159" s="192" t="str">
        <f t="shared" si="67"/>
        <v/>
      </c>
      <c r="N159" s="194"/>
      <c r="O159" s="194"/>
      <c r="P159" s="192" t="str">
        <f t="shared" si="68"/>
        <v/>
      </c>
      <c r="Q159" s="221" t="str">
        <f t="shared" si="69"/>
        <v/>
      </c>
      <c r="S159" s="170" t="str">
        <f t="shared" si="70"/>
        <v/>
      </c>
      <c r="T159" s="193" t="str">
        <f t="shared" si="71"/>
        <v/>
      </c>
      <c r="V159" s="194"/>
      <c r="W159" s="470"/>
      <c r="X159" s="194"/>
      <c r="Y159" s="195" t="str">
        <f t="shared" si="75"/>
        <v/>
      </c>
      <c r="AA159" s="129" t="s">
        <v>384</v>
      </c>
    </row>
    <row r="160" spans="1:27" ht="18.75" thickBot="1">
      <c r="B160" s="176" t="s">
        <v>288</v>
      </c>
      <c r="C160" s="401"/>
      <c r="D160" s="400"/>
      <c r="E160" s="196" t="str">
        <f t="shared" si="73"/>
        <v/>
      </c>
      <c r="F160" s="401"/>
      <c r="G160" s="145"/>
      <c r="H160" s="196" t="str">
        <f t="shared" si="66"/>
        <v/>
      </c>
      <c r="I160" s="218" t="str">
        <f t="shared" si="74"/>
        <v/>
      </c>
      <c r="K160" s="145"/>
      <c r="L160" s="401"/>
      <c r="M160" s="196" t="str">
        <f t="shared" si="67"/>
        <v/>
      </c>
      <c r="N160" s="198"/>
      <c r="O160" s="198"/>
      <c r="P160" s="196" t="str">
        <f t="shared" si="68"/>
        <v/>
      </c>
      <c r="Q160" s="222" t="str">
        <f t="shared" si="69"/>
        <v/>
      </c>
      <c r="S160" s="180" t="str">
        <f t="shared" si="70"/>
        <v/>
      </c>
      <c r="T160" s="197" t="str">
        <f t="shared" si="71"/>
        <v/>
      </c>
      <c r="V160" s="198"/>
      <c r="W160" s="472"/>
      <c r="X160" s="194"/>
      <c r="Y160" s="199" t="str">
        <f t="shared" si="75"/>
        <v/>
      </c>
      <c r="AA160" s="129" t="s">
        <v>384</v>
      </c>
    </row>
    <row r="161" spans="1:27" ht="18.75" thickBot="1">
      <c r="B161" s="149" t="s">
        <v>334</v>
      </c>
      <c r="C161" s="150">
        <f>IF(SUM(C149:C160)=0,"",SUM(C149:C160))</f>
        <v>53</v>
      </c>
      <c r="D161" s="150">
        <f t="shared" ref="D161" si="76">IF(SUM(D149:D160)=0,"",SUM(D149:D160))</f>
        <v>4</v>
      </c>
      <c r="E161" s="150">
        <f>IF(SUM(E149:E160)=0,"",SUM(E149:E160))</f>
        <v>57</v>
      </c>
      <c r="F161" s="150">
        <f t="shared" ref="F161:H161" si="77">IF(SUM(F149:F160)=0,"",SUM(F149:F160))</f>
        <v>65</v>
      </c>
      <c r="G161" s="150">
        <f t="shared" si="77"/>
        <v>16</v>
      </c>
      <c r="H161" s="150">
        <f t="shared" si="77"/>
        <v>81</v>
      </c>
      <c r="I161" s="219">
        <f>IF(SUM(I149:I160)=0,"",SUM(I149:I160))</f>
        <v>1.0125</v>
      </c>
      <c r="K161" s="150">
        <f>IF(SUM(K149:K160)=0,"",SUM(K149:K160))</f>
        <v>353</v>
      </c>
      <c r="L161" s="150">
        <f t="shared" ref="L161:P161" si="78">IF(SUM(L149:L160)=0,"",SUM(L149:L160))</f>
        <v>161</v>
      </c>
      <c r="M161" s="150">
        <f t="shared" si="78"/>
        <v>514</v>
      </c>
      <c r="N161" s="150">
        <f t="shared" si="78"/>
        <v>522</v>
      </c>
      <c r="O161" s="150">
        <f t="shared" si="78"/>
        <v>320</v>
      </c>
      <c r="P161" s="150">
        <f t="shared" si="78"/>
        <v>842</v>
      </c>
      <c r="Q161" s="219">
        <f>IF(SUM(Q149:Q160)=0,"",SUM(Q149:Q160))</f>
        <v>1.0631313131313131</v>
      </c>
      <c r="S161" s="150">
        <f>IF(SUM(S149:S160)=0,"",SUM(S149:S160))</f>
        <v>923</v>
      </c>
      <c r="T161" s="151">
        <f>IF(SUM(T149:T160)=0,"",SUM(T149:T160))</f>
        <v>1.1494396014943959</v>
      </c>
      <c r="V161" s="150">
        <f>IF(SUM(V149:V160)=0,"",SUM(V149:V160))</f>
        <v>30</v>
      </c>
      <c r="W161" s="150" t="str">
        <f>IF(SUM(W149:W160)=0,"",SUM(W149:W160))</f>
        <v/>
      </c>
      <c r="X161" s="150" t="str">
        <f>IF(SUM(X149:X160)=0,"",SUM(X149:X160))</f>
        <v/>
      </c>
      <c r="Y161" s="200" t="str">
        <f>IFERROR(X161/V161, "")</f>
        <v/>
      </c>
    </row>
    <row r="163" spans="1:27" ht="18.75" thickBot="1"/>
    <row r="164" spans="1:27" ht="21.75" thickBot="1">
      <c r="A164" s="1933">
        <v>2024</v>
      </c>
      <c r="B164" s="1959" t="s">
        <v>385</v>
      </c>
      <c r="C164" s="1960"/>
      <c r="D164" s="1960"/>
      <c r="E164" s="1960"/>
      <c r="F164" s="1960"/>
      <c r="G164" s="1960"/>
      <c r="H164" s="1960"/>
      <c r="I164" s="1960"/>
      <c r="J164" s="1960"/>
      <c r="K164" s="1960"/>
      <c r="L164" s="1960"/>
      <c r="M164" s="1960"/>
      <c r="N164" s="1960"/>
      <c r="O164" s="1960"/>
      <c r="P164" s="1960"/>
      <c r="Q164" s="1960"/>
      <c r="R164" s="1961"/>
    </row>
    <row r="165" spans="1:27" ht="27.75" customHeight="1" thickBot="1">
      <c r="A165" s="1933"/>
      <c r="B165" s="1945" t="s">
        <v>121</v>
      </c>
      <c r="C165" s="1944" t="s">
        <v>386</v>
      </c>
      <c r="D165" s="1944"/>
      <c r="E165" s="1944"/>
      <c r="F165" s="1944"/>
      <c r="G165" s="1944"/>
      <c r="H165" s="1944"/>
      <c r="I165" s="1944"/>
      <c r="J165" s="1944"/>
      <c r="K165" s="1944" t="s">
        <v>353</v>
      </c>
      <c r="L165" s="1944"/>
      <c r="M165" s="1944"/>
      <c r="N165" s="1944"/>
      <c r="O165" s="1944"/>
      <c r="P165" s="1944"/>
      <c r="Q165" s="1944"/>
      <c r="R165" s="1944"/>
      <c r="S165" s="201"/>
      <c r="T165" s="201"/>
      <c r="U165" s="201"/>
      <c r="V165" s="201"/>
      <c r="W165" s="201"/>
      <c r="X165" s="201"/>
      <c r="Y165" s="201"/>
      <c r="Z165" s="201"/>
      <c r="AA165" s="201"/>
    </row>
    <row r="166" spans="1:27" ht="18.75" thickBot="1">
      <c r="A166" s="201"/>
      <c r="B166" s="1945"/>
      <c r="C166" s="1945" t="s">
        <v>355</v>
      </c>
      <c r="D166" s="1945"/>
      <c r="E166" s="1945"/>
      <c r="F166" s="1945"/>
      <c r="G166" s="1945" t="s">
        <v>356</v>
      </c>
      <c r="H166" s="1945"/>
      <c r="I166" s="1945"/>
      <c r="J166" s="1945"/>
      <c r="K166" s="1945" t="s">
        <v>355</v>
      </c>
      <c r="L166" s="1945"/>
      <c r="M166" s="1945"/>
      <c r="N166" s="1945"/>
      <c r="O166" s="1945" t="s">
        <v>356</v>
      </c>
      <c r="P166" s="1945"/>
      <c r="Q166" s="1945"/>
      <c r="R166" s="1945"/>
      <c r="S166" s="201"/>
      <c r="T166" s="201"/>
      <c r="U166" s="201"/>
      <c r="V166" s="201"/>
      <c r="W166" s="201"/>
      <c r="X166" s="201"/>
      <c r="Y166" s="201"/>
      <c r="Z166" s="201"/>
      <c r="AA166" s="201"/>
    </row>
    <row r="167" spans="1:27" ht="18.75" thickBot="1">
      <c r="A167" s="880" t="s">
        <v>338</v>
      </c>
      <c r="B167" s="1945"/>
      <c r="C167" s="127" t="s">
        <v>360</v>
      </c>
      <c r="D167" s="127" t="s">
        <v>361</v>
      </c>
      <c r="E167" s="127" t="s">
        <v>362</v>
      </c>
      <c r="F167" s="127" t="s">
        <v>363</v>
      </c>
      <c r="G167" s="127" t="s">
        <v>360</v>
      </c>
      <c r="H167" s="127" t="s">
        <v>361</v>
      </c>
      <c r="I167" s="127" t="s">
        <v>362</v>
      </c>
      <c r="J167" s="127" t="s">
        <v>363</v>
      </c>
      <c r="K167" s="127" t="s">
        <v>360</v>
      </c>
      <c r="L167" s="127" t="s">
        <v>361</v>
      </c>
      <c r="M167" s="127" t="s">
        <v>362</v>
      </c>
      <c r="N167" s="127" t="s">
        <v>363</v>
      </c>
      <c r="O167" s="127" t="s">
        <v>360</v>
      </c>
      <c r="P167" s="127" t="s">
        <v>361</v>
      </c>
      <c r="Q167" s="127" t="s">
        <v>362</v>
      </c>
      <c r="R167" s="127" t="s">
        <v>363</v>
      </c>
      <c r="S167" s="201"/>
      <c r="T167" s="201"/>
      <c r="U167" s="201"/>
      <c r="V167" s="201"/>
      <c r="W167" s="201"/>
      <c r="X167" s="201"/>
      <c r="Y167" s="201"/>
      <c r="Z167" s="201"/>
      <c r="AA167" s="201"/>
    </row>
    <row r="168" spans="1:27">
      <c r="A168" s="882" t="s">
        <v>385</v>
      </c>
      <c r="B168" s="130" t="s">
        <v>278</v>
      </c>
      <c r="C168" s="156">
        <v>0</v>
      </c>
      <c r="D168" s="157">
        <v>0</v>
      </c>
      <c r="E168" s="158">
        <v>0</v>
      </c>
      <c r="F168" s="202" t="str">
        <f>IF(SUM(C168:E168)=0,"",SUM(C168:E168))</f>
        <v/>
      </c>
      <c r="G168" s="156">
        <v>0</v>
      </c>
      <c r="H168" s="157">
        <v>0</v>
      </c>
      <c r="I168" s="158">
        <v>0</v>
      </c>
      <c r="J168" s="202" t="str">
        <f>IF(SUM(G168:I168)=0,"",SUM(G168:I168))</f>
        <v/>
      </c>
      <c r="K168" s="156">
        <v>4</v>
      </c>
      <c r="L168" s="157">
        <v>1</v>
      </c>
      <c r="M168" s="158">
        <v>0</v>
      </c>
      <c r="N168" s="202">
        <f>IF(SUM(K168:M168)=0,"",SUM(K168:M168))</f>
        <v>5</v>
      </c>
      <c r="O168" s="156">
        <v>1</v>
      </c>
      <c r="P168" s="157">
        <v>0</v>
      </c>
      <c r="Q168" s="158">
        <v>0</v>
      </c>
      <c r="R168" s="202">
        <f>IF(SUM(O168:Q168)=0,"",SUM(O168:Q168))</f>
        <v>1</v>
      </c>
    </row>
    <row r="169" spans="1:27">
      <c r="A169" t="s">
        <v>365</v>
      </c>
      <c r="B169" s="136" t="s">
        <v>279</v>
      </c>
      <c r="C169" s="167"/>
      <c r="D169" s="168"/>
      <c r="E169" s="169"/>
      <c r="F169" s="170" t="str">
        <f t="shared" ref="F169:F179" si="79">IF(SUM(C169:E169)=0,"",SUM(C169:E169))</f>
        <v/>
      </c>
      <c r="G169" s="167"/>
      <c r="H169" s="168"/>
      <c r="I169" s="169"/>
      <c r="J169" s="170" t="str">
        <f t="shared" ref="J169:J179" si="80">IF(SUM(G169:I169)=0,"",SUM(G169:I169))</f>
        <v/>
      </c>
      <c r="K169" s="167"/>
      <c r="L169" s="168"/>
      <c r="M169" s="169"/>
      <c r="N169" s="170" t="str">
        <f t="shared" ref="N169:N179" si="81">IF(SUM(K169:M169)=0,"",SUM(K169:M169))</f>
        <v/>
      </c>
      <c r="O169" s="167"/>
      <c r="P169" s="168"/>
      <c r="Q169" s="169"/>
      <c r="R169" s="170" t="str">
        <f t="shared" ref="R169:R179" si="82">IF(SUM(O169:Q169)=0,"",SUM(O169:Q169))</f>
        <v/>
      </c>
    </row>
    <row r="170" spans="1:27">
      <c r="B170" s="136" t="s">
        <v>280</v>
      </c>
      <c r="C170" s="167"/>
      <c r="D170" s="168"/>
      <c r="E170" s="169"/>
      <c r="F170" s="170" t="str">
        <f t="shared" si="79"/>
        <v/>
      </c>
      <c r="G170" s="167"/>
      <c r="H170" s="168"/>
      <c r="I170" s="169"/>
      <c r="J170" s="170" t="str">
        <f t="shared" si="80"/>
        <v/>
      </c>
      <c r="K170" s="167"/>
      <c r="L170" s="168"/>
      <c r="M170" s="169"/>
      <c r="N170" s="170" t="str">
        <f t="shared" si="81"/>
        <v/>
      </c>
      <c r="O170" s="167"/>
      <c r="P170" s="168"/>
      <c r="Q170" s="169"/>
      <c r="R170" s="170" t="str">
        <f t="shared" si="82"/>
        <v/>
      </c>
    </row>
    <row r="171" spans="1:27">
      <c r="B171" s="136" t="s">
        <v>281</v>
      </c>
      <c r="C171" s="167"/>
      <c r="D171" s="168"/>
      <c r="E171" s="169"/>
      <c r="F171" s="170" t="str">
        <f t="shared" si="79"/>
        <v/>
      </c>
      <c r="G171" s="167"/>
      <c r="H171" s="168"/>
      <c r="I171" s="169"/>
      <c r="J171" s="170" t="str">
        <f t="shared" si="80"/>
        <v/>
      </c>
      <c r="K171" s="167"/>
      <c r="L171" s="168"/>
      <c r="M171" s="169"/>
      <c r="N171" s="170" t="str">
        <f t="shared" si="81"/>
        <v/>
      </c>
      <c r="O171" s="167"/>
      <c r="P171" s="168"/>
      <c r="Q171" s="169"/>
      <c r="R171" s="170" t="str">
        <f t="shared" si="82"/>
        <v/>
      </c>
    </row>
    <row r="172" spans="1:27">
      <c r="B172" s="136" t="s">
        <v>132</v>
      </c>
      <c r="C172" s="167"/>
      <c r="D172" s="168"/>
      <c r="E172" s="169"/>
      <c r="F172" s="170" t="str">
        <f t="shared" si="79"/>
        <v/>
      </c>
      <c r="G172" s="167"/>
      <c r="H172" s="168"/>
      <c r="I172" s="169"/>
      <c r="J172" s="170" t="str">
        <f t="shared" si="80"/>
        <v/>
      </c>
      <c r="K172" s="167"/>
      <c r="L172" s="168"/>
      <c r="M172" s="169"/>
      <c r="N172" s="170" t="str">
        <f t="shared" si="81"/>
        <v/>
      </c>
      <c r="O172" s="167"/>
      <c r="P172" s="168"/>
      <c r="Q172" s="169"/>
      <c r="R172" s="170" t="str">
        <f t="shared" si="82"/>
        <v/>
      </c>
    </row>
    <row r="173" spans="1:27">
      <c r="B173" s="136" t="s">
        <v>282</v>
      </c>
      <c r="C173" s="167"/>
      <c r="D173" s="168"/>
      <c r="E173" s="169"/>
      <c r="F173" s="170" t="str">
        <f t="shared" si="79"/>
        <v/>
      </c>
      <c r="G173" s="167"/>
      <c r="H173" s="168"/>
      <c r="I173" s="169"/>
      <c r="J173" s="170" t="str">
        <f t="shared" si="80"/>
        <v/>
      </c>
      <c r="K173" s="167"/>
      <c r="L173" s="168"/>
      <c r="M173" s="169"/>
      <c r="N173" s="170" t="str">
        <f t="shared" si="81"/>
        <v/>
      </c>
      <c r="O173" s="167"/>
      <c r="P173" s="168"/>
      <c r="Q173" s="169"/>
      <c r="R173" s="170" t="str">
        <f t="shared" si="82"/>
        <v/>
      </c>
    </row>
    <row r="174" spans="1:27">
      <c r="B174" s="136" t="s">
        <v>283</v>
      </c>
      <c r="C174" s="167"/>
      <c r="D174" s="168"/>
      <c r="E174" s="169"/>
      <c r="F174" s="170" t="str">
        <f t="shared" si="79"/>
        <v/>
      </c>
      <c r="G174" s="167"/>
      <c r="H174" s="168"/>
      <c r="I174" s="169"/>
      <c r="J174" s="170" t="str">
        <f t="shared" si="80"/>
        <v/>
      </c>
      <c r="K174" s="167"/>
      <c r="L174" s="168"/>
      <c r="M174" s="169"/>
      <c r="N174" s="170" t="str">
        <f t="shared" si="81"/>
        <v/>
      </c>
      <c r="O174" s="167"/>
      <c r="P174" s="168"/>
      <c r="Q174" s="169"/>
      <c r="R174" s="170" t="str">
        <f t="shared" si="82"/>
        <v/>
      </c>
    </row>
    <row r="175" spans="1:27">
      <c r="B175" s="136" t="s">
        <v>284</v>
      </c>
      <c r="C175" s="167"/>
      <c r="D175" s="168"/>
      <c r="E175" s="169"/>
      <c r="F175" s="170" t="str">
        <f t="shared" si="79"/>
        <v/>
      </c>
      <c r="G175" s="167"/>
      <c r="H175" s="168"/>
      <c r="I175" s="169"/>
      <c r="J175" s="170" t="str">
        <f t="shared" si="80"/>
        <v/>
      </c>
      <c r="K175" s="167"/>
      <c r="L175" s="168"/>
      <c r="M175" s="169"/>
      <c r="N175" s="170" t="str">
        <f t="shared" si="81"/>
        <v/>
      </c>
      <c r="O175" s="167"/>
      <c r="P175" s="168"/>
      <c r="Q175" s="169"/>
      <c r="R175" s="170" t="str">
        <f t="shared" si="82"/>
        <v/>
      </c>
    </row>
    <row r="176" spans="1:27">
      <c r="B176" s="136" t="s">
        <v>285</v>
      </c>
      <c r="C176" s="167"/>
      <c r="D176" s="168"/>
      <c r="E176" s="169"/>
      <c r="F176" s="170" t="str">
        <f t="shared" si="79"/>
        <v/>
      </c>
      <c r="G176" s="167"/>
      <c r="H176" s="168"/>
      <c r="I176" s="169"/>
      <c r="J176" s="170" t="str">
        <f t="shared" si="80"/>
        <v/>
      </c>
      <c r="K176" s="167"/>
      <c r="L176" s="168"/>
      <c r="M176" s="169"/>
      <c r="N176" s="170" t="str">
        <f t="shared" si="81"/>
        <v/>
      </c>
      <c r="O176" s="167"/>
      <c r="P176" s="168"/>
      <c r="Q176" s="169"/>
      <c r="R176" s="170" t="str">
        <f t="shared" si="82"/>
        <v/>
      </c>
    </row>
    <row r="177" spans="1:27">
      <c r="B177" s="136" t="s">
        <v>286</v>
      </c>
      <c r="C177" s="167"/>
      <c r="D177" s="168"/>
      <c r="E177" s="169"/>
      <c r="F177" s="170" t="str">
        <f t="shared" si="79"/>
        <v/>
      </c>
      <c r="G177" s="167"/>
      <c r="H177" s="168"/>
      <c r="I177" s="169"/>
      <c r="J177" s="170" t="str">
        <f t="shared" si="80"/>
        <v/>
      </c>
      <c r="K177" s="167"/>
      <c r="L177" s="168"/>
      <c r="M177" s="169"/>
      <c r="N177" s="170" t="str">
        <f t="shared" si="81"/>
        <v/>
      </c>
      <c r="O177" s="167"/>
      <c r="P177" s="168"/>
      <c r="Q177" s="169"/>
      <c r="R177" s="170" t="str">
        <f t="shared" si="82"/>
        <v/>
      </c>
    </row>
    <row r="178" spans="1:27">
      <c r="B178" s="136" t="s">
        <v>287</v>
      </c>
      <c r="C178" s="167"/>
      <c r="D178" s="168"/>
      <c r="E178" s="169"/>
      <c r="F178" s="170" t="str">
        <f t="shared" si="79"/>
        <v/>
      </c>
      <c r="G178" s="167"/>
      <c r="H178" s="168"/>
      <c r="I178" s="169"/>
      <c r="J178" s="170" t="str">
        <f t="shared" si="80"/>
        <v/>
      </c>
      <c r="K178" s="167"/>
      <c r="L178" s="168"/>
      <c r="M178" s="169"/>
      <c r="N178" s="170" t="str">
        <f t="shared" si="81"/>
        <v/>
      </c>
      <c r="O178" s="167"/>
      <c r="P178" s="168"/>
      <c r="Q178" s="169"/>
      <c r="R178" s="170" t="str">
        <f t="shared" si="82"/>
        <v/>
      </c>
    </row>
    <row r="179" spans="1:27" ht="18.75" thickBot="1">
      <c r="B179" s="142" t="s">
        <v>288</v>
      </c>
      <c r="C179" s="177"/>
      <c r="D179" s="178"/>
      <c r="E179" s="179"/>
      <c r="F179" s="203" t="str">
        <f t="shared" si="79"/>
        <v/>
      </c>
      <c r="G179" s="177"/>
      <c r="H179" s="178"/>
      <c r="I179" s="179"/>
      <c r="J179" s="203" t="str">
        <f t="shared" si="80"/>
        <v/>
      </c>
      <c r="K179" s="177"/>
      <c r="L179" s="178"/>
      <c r="M179" s="179"/>
      <c r="N179" s="203" t="str">
        <f t="shared" si="81"/>
        <v/>
      </c>
      <c r="O179" s="177"/>
      <c r="P179" s="178"/>
      <c r="Q179" s="179"/>
      <c r="R179" s="203" t="str">
        <f t="shared" si="82"/>
        <v/>
      </c>
    </row>
    <row r="180" spans="1:27" ht="18.75" thickBot="1">
      <c r="B180" s="149" t="s">
        <v>334</v>
      </c>
      <c r="C180" s="150" t="str">
        <f>IF(SUM(C168:C179)=0,"",SUM(C168:C179))</f>
        <v/>
      </c>
      <c r="D180" s="150" t="str">
        <f t="shared" ref="D180:R180" si="83">IF(SUM(D168:D179)=0,"",SUM(D168:D179))</f>
        <v/>
      </c>
      <c r="E180" s="150" t="str">
        <f t="shared" si="83"/>
        <v/>
      </c>
      <c r="F180" s="150" t="str">
        <f t="shared" si="83"/>
        <v/>
      </c>
      <c r="G180" s="150" t="str">
        <f t="shared" si="83"/>
        <v/>
      </c>
      <c r="H180" s="150" t="str">
        <f t="shared" si="83"/>
        <v/>
      </c>
      <c r="I180" s="150" t="str">
        <f t="shared" si="83"/>
        <v/>
      </c>
      <c r="J180" s="150" t="str">
        <f t="shared" si="83"/>
        <v/>
      </c>
      <c r="K180" s="150">
        <f t="shared" si="83"/>
        <v>4</v>
      </c>
      <c r="L180" s="150">
        <f t="shared" si="83"/>
        <v>1</v>
      </c>
      <c r="M180" s="150" t="str">
        <f t="shared" si="83"/>
        <v/>
      </c>
      <c r="N180" s="150">
        <f t="shared" si="83"/>
        <v>5</v>
      </c>
      <c r="O180" s="150">
        <f t="shared" si="83"/>
        <v>1</v>
      </c>
      <c r="P180" s="150" t="str">
        <f t="shared" si="83"/>
        <v/>
      </c>
      <c r="Q180" s="150" t="str">
        <f t="shared" si="83"/>
        <v/>
      </c>
      <c r="R180" s="150">
        <f t="shared" si="83"/>
        <v>1</v>
      </c>
    </row>
    <row r="182" spans="1:27" ht="18.75" thickBot="1"/>
    <row r="183" spans="1:27" ht="21.75" thickBot="1">
      <c r="A183" s="1933">
        <v>2024</v>
      </c>
      <c r="B183" s="1959" t="s">
        <v>387</v>
      </c>
      <c r="C183" s="1960"/>
      <c r="D183" s="1960"/>
      <c r="E183" s="1960"/>
      <c r="F183" s="1960"/>
      <c r="G183" s="1960"/>
      <c r="H183" s="1960"/>
      <c r="I183" s="1960"/>
      <c r="J183" s="1960"/>
      <c r="K183" s="1960"/>
      <c r="L183" s="1960"/>
      <c r="M183" s="1960"/>
      <c r="N183" s="1960"/>
      <c r="O183" s="1960"/>
      <c r="P183" s="1960"/>
      <c r="Q183" s="1960"/>
      <c r="R183" s="1961"/>
    </row>
    <row r="184" spans="1:27" ht="36.75" customHeight="1" thickBot="1">
      <c r="A184" s="1933"/>
      <c r="B184" s="1945" t="s">
        <v>121</v>
      </c>
      <c r="C184" s="1962" t="s">
        <v>386</v>
      </c>
      <c r="D184" s="1944"/>
      <c r="E184" s="1944"/>
      <c r="F184" s="1944"/>
      <c r="G184" s="1944"/>
      <c r="H184" s="1944"/>
      <c r="I184" s="1944"/>
      <c r="J184" s="1944"/>
      <c r="K184" s="1944" t="s">
        <v>353</v>
      </c>
      <c r="L184" s="1944"/>
      <c r="M184" s="1944"/>
      <c r="N184" s="1944"/>
      <c r="O184" s="1944"/>
      <c r="P184" s="1944"/>
      <c r="Q184" s="1944"/>
      <c r="R184" s="1944"/>
      <c r="S184" s="154"/>
      <c r="T184" s="154"/>
      <c r="U184" s="154"/>
      <c r="V184" s="154"/>
      <c r="W184" s="154"/>
      <c r="X184" s="154"/>
      <c r="Y184" s="154"/>
      <c r="Z184" s="154"/>
      <c r="AA184" s="154"/>
    </row>
    <row r="185" spans="1:27" ht="18.75" thickBot="1">
      <c r="A185" s="154"/>
      <c r="B185" s="1945"/>
      <c r="C185" s="1963" t="s">
        <v>355</v>
      </c>
      <c r="D185" s="1945"/>
      <c r="E185" s="1945"/>
      <c r="F185" s="1945"/>
      <c r="G185" s="1945" t="s">
        <v>356</v>
      </c>
      <c r="H185" s="1945"/>
      <c r="I185" s="1945"/>
      <c r="J185" s="1945"/>
      <c r="K185" s="1945" t="s">
        <v>355</v>
      </c>
      <c r="L185" s="1945"/>
      <c r="M185" s="1945"/>
      <c r="N185" s="1945"/>
      <c r="O185" s="1945" t="s">
        <v>356</v>
      </c>
      <c r="P185" s="1945"/>
      <c r="Q185" s="1945"/>
      <c r="R185" s="1945"/>
      <c r="S185" s="154"/>
      <c r="T185" s="154"/>
      <c r="U185" s="154"/>
      <c r="V185" s="154"/>
      <c r="W185" s="154"/>
      <c r="X185" s="154"/>
      <c r="Y185" s="154"/>
      <c r="Z185" s="154"/>
      <c r="AA185" s="154"/>
    </row>
    <row r="186" spans="1:27" ht="18.75" thickBot="1">
      <c r="A186" s="880" t="s">
        <v>338</v>
      </c>
      <c r="B186" s="1945"/>
      <c r="C186" s="204" t="s">
        <v>360</v>
      </c>
      <c r="D186" s="127" t="s">
        <v>361</v>
      </c>
      <c r="E186" s="127" t="s">
        <v>362</v>
      </c>
      <c r="F186" s="127" t="s">
        <v>363</v>
      </c>
      <c r="G186" s="127" t="s">
        <v>360</v>
      </c>
      <c r="H186" s="127" t="s">
        <v>361</v>
      </c>
      <c r="I186" s="127" t="s">
        <v>362</v>
      </c>
      <c r="J186" s="127" t="s">
        <v>363</v>
      </c>
      <c r="K186" s="127" t="s">
        <v>360</v>
      </c>
      <c r="L186" s="127" t="s">
        <v>361</v>
      </c>
      <c r="M186" s="127" t="s">
        <v>362</v>
      </c>
      <c r="N186" s="127" t="s">
        <v>363</v>
      </c>
      <c r="O186" s="127" t="s">
        <v>360</v>
      </c>
      <c r="P186" s="127" t="s">
        <v>361</v>
      </c>
      <c r="Q186" s="127" t="s">
        <v>362</v>
      </c>
      <c r="R186" s="127" t="s">
        <v>363</v>
      </c>
      <c r="S186" s="154"/>
      <c r="T186" s="154"/>
      <c r="U186" s="154"/>
      <c r="V186" s="154"/>
      <c r="W186" s="154"/>
      <c r="X186" s="154"/>
      <c r="Y186" s="154"/>
      <c r="Z186" s="154"/>
      <c r="AA186" s="154"/>
    </row>
    <row r="187" spans="1:27">
      <c r="A187" s="882" t="s">
        <v>387</v>
      </c>
      <c r="B187" s="130" t="s">
        <v>278</v>
      </c>
      <c r="C187" s="156">
        <v>0</v>
      </c>
      <c r="D187" s="157">
        <v>0</v>
      </c>
      <c r="E187" s="158">
        <v>0</v>
      </c>
      <c r="F187" s="202" t="str">
        <f>IF(SUM(C187:E187)=0,"",SUM(C187:E187))</f>
        <v/>
      </c>
      <c r="G187" s="156">
        <v>0</v>
      </c>
      <c r="H187" s="157">
        <v>0</v>
      </c>
      <c r="I187" s="158">
        <v>0</v>
      </c>
      <c r="J187" s="202" t="str">
        <f>IF(SUM(G187:I187)=0,"",SUM(G187:I187))</f>
        <v/>
      </c>
      <c r="K187" s="156">
        <v>1</v>
      </c>
      <c r="L187" s="157">
        <v>1</v>
      </c>
      <c r="M187" s="158">
        <v>0</v>
      </c>
      <c r="N187" s="202">
        <f>IF(SUM(K187:M187)=0,"",SUM(K187:M187))</f>
        <v>2</v>
      </c>
      <c r="O187" s="156">
        <v>5</v>
      </c>
      <c r="P187" s="157">
        <v>0</v>
      </c>
      <c r="Q187" s="158">
        <v>0</v>
      </c>
      <c r="R187" s="202">
        <f>IF(SUM(O187:Q187)=0,"",SUM(O187:Q187))</f>
        <v>5</v>
      </c>
    </row>
    <row r="188" spans="1:27">
      <c r="A188" t="s">
        <v>365</v>
      </c>
      <c r="B188" s="136" t="s">
        <v>279</v>
      </c>
      <c r="C188" s="167"/>
      <c r="D188" s="168"/>
      <c r="E188" s="169"/>
      <c r="F188" s="170" t="str">
        <f t="shared" ref="F188:F198" si="84">IF(SUM(C188:E188)=0,"",SUM(C188:E188))</f>
        <v/>
      </c>
      <c r="G188" s="167"/>
      <c r="H188" s="168"/>
      <c r="I188" s="169"/>
      <c r="J188" s="170" t="str">
        <f t="shared" ref="J188:J198" si="85">IF(SUM(G188:I188)=0,"",SUM(G188:I188))</f>
        <v/>
      </c>
      <c r="K188" s="167"/>
      <c r="L188" s="168"/>
      <c r="M188" s="169"/>
      <c r="N188" s="170" t="str">
        <f t="shared" ref="N188:N198" si="86">IF(SUM(K188:M188)=0,"",SUM(K188:M188))</f>
        <v/>
      </c>
      <c r="O188" s="167"/>
      <c r="P188" s="168"/>
      <c r="Q188" s="169"/>
      <c r="R188" s="170" t="str">
        <f t="shared" ref="R188:R198" si="87">IF(SUM(O188:Q188)=0,"",SUM(O188:Q188))</f>
        <v/>
      </c>
    </row>
    <row r="189" spans="1:27">
      <c r="B189" s="136" t="s">
        <v>280</v>
      </c>
      <c r="C189" s="167"/>
      <c r="D189" s="168"/>
      <c r="E189" s="169"/>
      <c r="F189" s="170" t="str">
        <f t="shared" si="84"/>
        <v/>
      </c>
      <c r="G189" s="167"/>
      <c r="H189" s="168"/>
      <c r="I189" s="169"/>
      <c r="J189" s="170" t="str">
        <f t="shared" si="85"/>
        <v/>
      </c>
      <c r="K189" s="167"/>
      <c r="L189" s="168"/>
      <c r="M189" s="169"/>
      <c r="N189" s="170" t="str">
        <f t="shared" si="86"/>
        <v/>
      </c>
      <c r="O189" s="167"/>
      <c r="P189" s="168"/>
      <c r="Q189" s="169"/>
      <c r="R189" s="170" t="str">
        <f t="shared" si="87"/>
        <v/>
      </c>
    </row>
    <row r="190" spans="1:27">
      <c r="B190" s="136" t="s">
        <v>281</v>
      </c>
      <c r="C190" s="167"/>
      <c r="D190" s="168"/>
      <c r="E190" s="169"/>
      <c r="F190" s="170" t="str">
        <f t="shared" si="84"/>
        <v/>
      </c>
      <c r="G190" s="167"/>
      <c r="H190" s="168"/>
      <c r="I190" s="169"/>
      <c r="J190" s="170" t="str">
        <f t="shared" si="85"/>
        <v/>
      </c>
      <c r="K190" s="167"/>
      <c r="L190" s="168"/>
      <c r="M190" s="169"/>
      <c r="N190" s="170" t="str">
        <f t="shared" si="86"/>
        <v/>
      </c>
      <c r="O190" s="167"/>
      <c r="P190" s="168"/>
      <c r="Q190" s="169"/>
      <c r="R190" s="170" t="str">
        <f t="shared" si="87"/>
        <v/>
      </c>
    </row>
    <row r="191" spans="1:27">
      <c r="B191" s="136" t="s">
        <v>132</v>
      </c>
      <c r="C191" s="167"/>
      <c r="D191" s="168"/>
      <c r="E191" s="169"/>
      <c r="F191" s="170" t="str">
        <f t="shared" si="84"/>
        <v/>
      </c>
      <c r="G191" s="167"/>
      <c r="H191" s="168"/>
      <c r="I191" s="169"/>
      <c r="J191" s="170" t="str">
        <f t="shared" si="85"/>
        <v/>
      </c>
      <c r="K191" s="167"/>
      <c r="L191" s="168"/>
      <c r="M191" s="169"/>
      <c r="N191" s="170" t="str">
        <f t="shared" si="86"/>
        <v/>
      </c>
      <c r="O191" s="167"/>
      <c r="P191" s="168"/>
      <c r="Q191" s="169"/>
      <c r="R191" s="170" t="str">
        <f t="shared" si="87"/>
        <v/>
      </c>
    </row>
    <row r="192" spans="1:27">
      <c r="B192" s="136" t="s">
        <v>282</v>
      </c>
      <c r="C192" s="167"/>
      <c r="D192" s="168"/>
      <c r="E192" s="169"/>
      <c r="F192" s="170" t="str">
        <f t="shared" si="84"/>
        <v/>
      </c>
      <c r="G192" s="167"/>
      <c r="H192" s="168"/>
      <c r="I192" s="169"/>
      <c r="J192" s="170" t="str">
        <f t="shared" si="85"/>
        <v/>
      </c>
      <c r="K192" s="167"/>
      <c r="L192" s="168"/>
      <c r="M192" s="169"/>
      <c r="N192" s="170" t="str">
        <f t="shared" si="86"/>
        <v/>
      </c>
      <c r="O192" s="167"/>
      <c r="P192" s="168"/>
      <c r="Q192" s="169"/>
      <c r="R192" s="170" t="str">
        <f t="shared" si="87"/>
        <v/>
      </c>
    </row>
    <row r="193" spans="2:18">
      <c r="B193" s="136" t="s">
        <v>283</v>
      </c>
      <c r="C193" s="167"/>
      <c r="D193" s="168"/>
      <c r="E193" s="169"/>
      <c r="F193" s="170" t="str">
        <f t="shared" si="84"/>
        <v/>
      </c>
      <c r="G193" s="167"/>
      <c r="H193" s="168"/>
      <c r="I193" s="169"/>
      <c r="J193" s="170" t="str">
        <f t="shared" si="85"/>
        <v/>
      </c>
      <c r="K193" s="167"/>
      <c r="L193" s="168"/>
      <c r="M193" s="169"/>
      <c r="N193" s="170" t="str">
        <f t="shared" si="86"/>
        <v/>
      </c>
      <c r="O193" s="167"/>
      <c r="P193" s="168"/>
      <c r="Q193" s="169"/>
      <c r="R193" s="170" t="str">
        <f t="shared" si="87"/>
        <v/>
      </c>
    </row>
    <row r="194" spans="2:18">
      <c r="B194" s="136" t="s">
        <v>284</v>
      </c>
      <c r="C194" s="167"/>
      <c r="D194" s="168"/>
      <c r="E194" s="169"/>
      <c r="F194" s="170" t="str">
        <f t="shared" si="84"/>
        <v/>
      </c>
      <c r="G194" s="167"/>
      <c r="H194" s="168"/>
      <c r="I194" s="169"/>
      <c r="J194" s="170" t="str">
        <f t="shared" si="85"/>
        <v/>
      </c>
      <c r="K194" s="167"/>
      <c r="L194" s="168"/>
      <c r="M194" s="169"/>
      <c r="N194" s="170" t="str">
        <f t="shared" si="86"/>
        <v/>
      </c>
      <c r="O194" s="167"/>
      <c r="P194" s="168"/>
      <c r="Q194" s="169"/>
      <c r="R194" s="170" t="str">
        <f t="shared" si="87"/>
        <v/>
      </c>
    </row>
    <row r="195" spans="2:18">
      <c r="B195" s="136" t="s">
        <v>285</v>
      </c>
      <c r="C195" s="167"/>
      <c r="D195" s="168"/>
      <c r="E195" s="169"/>
      <c r="F195" s="170" t="str">
        <f t="shared" si="84"/>
        <v/>
      </c>
      <c r="G195" s="167"/>
      <c r="H195" s="168"/>
      <c r="I195" s="169"/>
      <c r="J195" s="170" t="str">
        <f t="shared" si="85"/>
        <v/>
      </c>
      <c r="K195" s="167"/>
      <c r="L195" s="168"/>
      <c r="M195" s="169"/>
      <c r="N195" s="170" t="str">
        <f t="shared" si="86"/>
        <v/>
      </c>
      <c r="O195" s="167"/>
      <c r="P195" s="168"/>
      <c r="Q195" s="169"/>
      <c r="R195" s="170" t="str">
        <f t="shared" si="87"/>
        <v/>
      </c>
    </row>
    <row r="196" spans="2:18">
      <c r="B196" s="136" t="s">
        <v>286</v>
      </c>
      <c r="C196" s="167"/>
      <c r="D196" s="168"/>
      <c r="E196" s="169"/>
      <c r="F196" s="170" t="str">
        <f t="shared" si="84"/>
        <v/>
      </c>
      <c r="G196" s="167"/>
      <c r="H196" s="168"/>
      <c r="I196" s="169"/>
      <c r="J196" s="170" t="str">
        <f t="shared" si="85"/>
        <v/>
      </c>
      <c r="K196" s="167"/>
      <c r="L196" s="168"/>
      <c r="M196" s="169"/>
      <c r="N196" s="170" t="str">
        <f t="shared" si="86"/>
        <v/>
      </c>
      <c r="O196" s="167"/>
      <c r="P196" s="168"/>
      <c r="Q196" s="169"/>
      <c r="R196" s="170" t="str">
        <f t="shared" si="87"/>
        <v/>
      </c>
    </row>
    <row r="197" spans="2:18">
      <c r="B197" s="136" t="s">
        <v>287</v>
      </c>
      <c r="C197" s="167"/>
      <c r="D197" s="168"/>
      <c r="E197" s="169"/>
      <c r="F197" s="170" t="str">
        <f t="shared" si="84"/>
        <v/>
      </c>
      <c r="G197" s="167"/>
      <c r="H197" s="168"/>
      <c r="I197" s="169"/>
      <c r="J197" s="170" t="str">
        <f t="shared" si="85"/>
        <v/>
      </c>
      <c r="K197" s="167"/>
      <c r="L197" s="168"/>
      <c r="M197" s="169"/>
      <c r="N197" s="170" t="str">
        <f t="shared" si="86"/>
        <v/>
      </c>
      <c r="O197" s="167"/>
      <c r="P197" s="168"/>
      <c r="Q197" s="169"/>
      <c r="R197" s="170" t="str">
        <f t="shared" si="87"/>
        <v/>
      </c>
    </row>
    <row r="198" spans="2:18" ht="18.75" thickBot="1">
      <c r="B198" s="136" t="s">
        <v>288</v>
      </c>
      <c r="C198" s="177"/>
      <c r="D198" s="178"/>
      <c r="E198" s="179"/>
      <c r="F198" s="180" t="str">
        <f t="shared" si="84"/>
        <v/>
      </c>
      <c r="G198" s="177"/>
      <c r="H198" s="178"/>
      <c r="I198" s="179"/>
      <c r="J198" s="180" t="str">
        <f t="shared" si="85"/>
        <v/>
      </c>
      <c r="K198" s="177"/>
      <c r="L198" s="178"/>
      <c r="M198" s="179"/>
      <c r="N198" s="180" t="str">
        <f t="shared" si="86"/>
        <v/>
      </c>
      <c r="O198" s="177"/>
      <c r="P198" s="178"/>
      <c r="Q198" s="179"/>
      <c r="R198" s="180" t="str">
        <f t="shared" si="87"/>
        <v/>
      </c>
    </row>
    <row r="199" spans="2:18" ht="18.75" thickBot="1">
      <c r="B199" s="149" t="s">
        <v>334</v>
      </c>
      <c r="C199" s="205" t="str">
        <f t="shared" ref="C199:R199" si="88">IF(SUM(C187:C198)=0,"",SUM(C187:C198))</f>
        <v/>
      </c>
      <c r="D199" s="150" t="str">
        <f t="shared" si="88"/>
        <v/>
      </c>
      <c r="E199" s="150" t="str">
        <f t="shared" si="88"/>
        <v/>
      </c>
      <c r="F199" s="150" t="str">
        <f t="shared" si="88"/>
        <v/>
      </c>
      <c r="G199" s="150" t="str">
        <f t="shared" si="88"/>
        <v/>
      </c>
      <c r="H199" s="150" t="str">
        <f t="shared" si="88"/>
        <v/>
      </c>
      <c r="I199" s="150" t="str">
        <f t="shared" si="88"/>
        <v/>
      </c>
      <c r="J199" s="150" t="str">
        <f t="shared" si="88"/>
        <v/>
      </c>
      <c r="K199" s="150">
        <f t="shared" si="88"/>
        <v>1</v>
      </c>
      <c r="L199" s="150">
        <f t="shared" si="88"/>
        <v>1</v>
      </c>
      <c r="M199" s="150" t="str">
        <f t="shared" si="88"/>
        <v/>
      </c>
      <c r="N199" s="150">
        <f t="shared" si="88"/>
        <v>2</v>
      </c>
      <c r="O199" s="150">
        <f t="shared" si="88"/>
        <v>5</v>
      </c>
      <c r="P199" s="150" t="str">
        <f t="shared" si="88"/>
        <v/>
      </c>
      <c r="Q199" s="150" t="str">
        <f t="shared" si="88"/>
        <v/>
      </c>
      <c r="R199" s="150">
        <f t="shared" si="88"/>
        <v>5</v>
      </c>
    </row>
  </sheetData>
  <mergeCells count="118">
    <mergeCell ref="O84:R84"/>
    <mergeCell ref="C46:E46"/>
    <mergeCell ref="F46:H46"/>
    <mergeCell ref="K46:M46"/>
    <mergeCell ref="C83:J83"/>
    <mergeCell ref="B63:R63"/>
    <mergeCell ref="B46:B47"/>
    <mergeCell ref="B64:B66"/>
    <mergeCell ref="B83:B85"/>
    <mergeCell ref="C84:F84"/>
    <mergeCell ref="K83:R83"/>
    <mergeCell ref="B82:R82"/>
    <mergeCell ref="G84:J84"/>
    <mergeCell ref="K84:N84"/>
    <mergeCell ref="K45:Q45"/>
    <mergeCell ref="B44:Y44"/>
    <mergeCell ref="X46:X47"/>
    <mergeCell ref="Y46:Y47"/>
    <mergeCell ref="B20:L20"/>
    <mergeCell ref="AN25:AQ25"/>
    <mergeCell ref="AF25:AG25"/>
    <mergeCell ref="AB40:AD42"/>
    <mergeCell ref="AB25:AD25"/>
    <mergeCell ref="AF40:AH43"/>
    <mergeCell ref="AB23:AD24"/>
    <mergeCell ref="AI25:AL25"/>
    <mergeCell ref="B23:Z23"/>
    <mergeCell ref="B24:B26"/>
    <mergeCell ref="C25:F25"/>
    <mergeCell ref="G25:J25"/>
    <mergeCell ref="K25:N25"/>
    <mergeCell ref="O25:R25"/>
    <mergeCell ref="S25:V25"/>
    <mergeCell ref="K24:R24"/>
    <mergeCell ref="C24:J24"/>
    <mergeCell ref="A4:A5"/>
    <mergeCell ref="A104:A105"/>
    <mergeCell ref="B106:M106"/>
    <mergeCell ref="B121:L121"/>
    <mergeCell ref="B124:Z124"/>
    <mergeCell ref="B40:I41"/>
    <mergeCell ref="B45:I45"/>
    <mergeCell ref="S24:Z24"/>
    <mergeCell ref="T46:T47"/>
    <mergeCell ref="S46:S47"/>
    <mergeCell ref="N46:P46"/>
    <mergeCell ref="I46:I47"/>
    <mergeCell ref="Q46:Q47"/>
    <mergeCell ref="B5:M5"/>
    <mergeCell ref="V46:V47"/>
    <mergeCell ref="W46:W47"/>
    <mergeCell ref="C64:J64"/>
    <mergeCell ref="C65:F65"/>
    <mergeCell ref="G65:J65"/>
    <mergeCell ref="K65:N65"/>
    <mergeCell ref="O65:R65"/>
    <mergeCell ref="K64:R64"/>
    <mergeCell ref="V45:Y45"/>
    <mergeCell ref="W25:Z25"/>
    <mergeCell ref="V146:Y146"/>
    <mergeCell ref="B125:B127"/>
    <mergeCell ref="C125:J125"/>
    <mergeCell ref="K125:R125"/>
    <mergeCell ref="S125:Z125"/>
    <mergeCell ref="C126:F126"/>
    <mergeCell ref="G126:J126"/>
    <mergeCell ref="K126:N126"/>
    <mergeCell ref="O126:R126"/>
    <mergeCell ref="S126:V126"/>
    <mergeCell ref="W126:Z126"/>
    <mergeCell ref="AI126:AL126"/>
    <mergeCell ref="AN126:AQ126"/>
    <mergeCell ref="B183:R183"/>
    <mergeCell ref="B184:B186"/>
    <mergeCell ref="C184:J184"/>
    <mergeCell ref="K184:R184"/>
    <mergeCell ref="C185:F185"/>
    <mergeCell ref="G185:J185"/>
    <mergeCell ref="K185:N185"/>
    <mergeCell ref="O185:R185"/>
    <mergeCell ref="W147:W148"/>
    <mergeCell ref="X147:X148"/>
    <mergeCell ref="Y147:Y148"/>
    <mergeCell ref="B164:R164"/>
    <mergeCell ref="B165:B167"/>
    <mergeCell ref="C165:J165"/>
    <mergeCell ref="K165:R165"/>
    <mergeCell ref="C166:F166"/>
    <mergeCell ref="G166:J166"/>
    <mergeCell ref="K166:N166"/>
    <mergeCell ref="O166:R166"/>
    <mergeCell ref="N147:P147"/>
    <mergeCell ref="Q147:Q148"/>
    <mergeCell ref="S147:S148"/>
    <mergeCell ref="A145:A146"/>
    <mergeCell ref="A164:A165"/>
    <mergeCell ref="A183:A184"/>
    <mergeCell ref="AB141:AD143"/>
    <mergeCell ref="AF141:AH144"/>
    <mergeCell ref="A23:A24"/>
    <mergeCell ref="A44:A45"/>
    <mergeCell ref="A63:A64"/>
    <mergeCell ref="A82:A83"/>
    <mergeCell ref="A124:A125"/>
    <mergeCell ref="AB124:AD125"/>
    <mergeCell ref="AB126:AD126"/>
    <mergeCell ref="AF126:AG126"/>
    <mergeCell ref="T147:T148"/>
    <mergeCell ref="V147:V148"/>
    <mergeCell ref="B147:B148"/>
    <mergeCell ref="C147:E147"/>
    <mergeCell ref="F147:H147"/>
    <mergeCell ref="I147:I148"/>
    <mergeCell ref="K147:M147"/>
    <mergeCell ref="B141:I142"/>
    <mergeCell ref="B145:Y145"/>
    <mergeCell ref="B146:I146"/>
    <mergeCell ref="K146:Q146"/>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99DAE-7D81-4480-9640-1656761A9C2D}">
  <dimension ref="A1:V74"/>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9.140625" defaultRowHeight="16.5"/>
  <cols>
    <col min="1" max="1" width="34.7109375" style="2" customWidth="1"/>
    <col min="2" max="2" width="11.28515625" style="2" customWidth="1"/>
    <col min="3" max="3" width="20.5703125" style="2" customWidth="1"/>
    <col min="4" max="4" width="22.7109375" style="2" customWidth="1"/>
    <col min="5" max="5" width="16.140625" style="2" customWidth="1"/>
    <col min="6" max="7" width="6.7109375" style="2" customWidth="1"/>
    <col min="8" max="8" width="15" style="2" customWidth="1"/>
    <col min="9" max="9" width="16.42578125" style="2" bestFit="1" customWidth="1"/>
    <col min="10" max="10" width="14.42578125" style="2" customWidth="1"/>
    <col min="11" max="11" width="16.42578125" style="2" bestFit="1" customWidth="1"/>
    <col min="12" max="12" width="15.42578125" style="2" customWidth="1"/>
    <col min="13" max="13" width="31.42578125" style="2" customWidth="1"/>
    <col min="14" max="16384" width="9.140625" style="2"/>
  </cols>
  <sheetData>
    <row r="1" spans="1:6" ht="24.75" customHeight="1"/>
    <row r="2" spans="1:6" ht="24.75" customHeight="1"/>
    <row r="3" spans="1:6" ht="41.25" customHeight="1"/>
    <row r="4" spans="1:6" ht="24.75" customHeight="1" thickBot="1">
      <c r="A4" s="1933">
        <v>2023</v>
      </c>
    </row>
    <row r="5" spans="1:6" ht="21.75" thickBot="1">
      <c r="A5" s="1933"/>
      <c r="B5" s="1967" t="s">
        <v>389</v>
      </c>
      <c r="C5" s="1968"/>
      <c r="D5" s="1969"/>
    </row>
    <row r="6" spans="1:6" ht="45.75" thickBot="1">
      <c r="A6" s="880" t="s">
        <v>338</v>
      </c>
      <c r="B6" s="8" t="s">
        <v>121</v>
      </c>
      <c r="C6" s="458" t="s">
        <v>390</v>
      </c>
      <c r="D6" s="458" t="s">
        <v>391</v>
      </c>
      <c r="E6" s="3"/>
    </row>
    <row r="7" spans="1:6" ht="18">
      <c r="A7" s="882" t="s">
        <v>389</v>
      </c>
      <c r="B7" s="9" t="s">
        <v>278</v>
      </c>
      <c r="C7" s="13">
        <v>38</v>
      </c>
      <c r="D7" s="14">
        <v>2</v>
      </c>
    </row>
    <row r="8" spans="1:6" ht="16.5" customHeight="1">
      <c r="A8" t="s">
        <v>241</v>
      </c>
      <c r="B8" s="10" t="s">
        <v>279</v>
      </c>
      <c r="C8" s="15">
        <v>36</v>
      </c>
      <c r="D8" s="16">
        <v>0</v>
      </c>
      <c r="F8" s="4"/>
    </row>
    <row r="9" spans="1:6" ht="18">
      <c r="B9" s="10" t="s">
        <v>280</v>
      </c>
      <c r="C9" s="15">
        <v>36</v>
      </c>
      <c r="D9" s="16">
        <v>1</v>
      </c>
      <c r="F9" s="4"/>
    </row>
    <row r="10" spans="1:6" ht="18">
      <c r="B10" s="10" t="s">
        <v>281</v>
      </c>
      <c r="C10" s="15">
        <v>35</v>
      </c>
      <c r="D10" s="16">
        <v>0</v>
      </c>
    </row>
    <row r="11" spans="1:6" ht="18">
      <c r="B11" s="10" t="s">
        <v>132</v>
      </c>
      <c r="C11" s="15">
        <v>34</v>
      </c>
      <c r="D11" s="16">
        <v>0</v>
      </c>
    </row>
    <row r="12" spans="1:6" ht="18">
      <c r="B12" s="10" t="s">
        <v>282</v>
      </c>
      <c r="C12" s="15">
        <v>34</v>
      </c>
      <c r="D12" s="16">
        <v>0</v>
      </c>
    </row>
    <row r="13" spans="1:6" ht="18">
      <c r="B13" s="10" t="s">
        <v>283</v>
      </c>
      <c r="C13" s="15">
        <v>34</v>
      </c>
      <c r="D13" s="16">
        <v>0</v>
      </c>
    </row>
    <row r="14" spans="1:6" ht="18">
      <c r="B14" s="10" t="s">
        <v>284</v>
      </c>
      <c r="C14" s="15">
        <v>34</v>
      </c>
      <c r="D14" s="16">
        <v>0</v>
      </c>
    </row>
    <row r="15" spans="1:6" ht="18">
      <c r="B15" s="10" t="s">
        <v>285</v>
      </c>
      <c r="C15" s="15">
        <v>34</v>
      </c>
      <c r="D15" s="16">
        <v>0</v>
      </c>
    </row>
    <row r="16" spans="1:6" ht="18">
      <c r="B16" s="10" t="s">
        <v>286</v>
      </c>
      <c r="C16" s="15">
        <v>34</v>
      </c>
      <c r="D16" s="16">
        <v>1</v>
      </c>
    </row>
    <row r="17" spans="1:22" ht="18">
      <c r="B17" s="10" t="s">
        <v>287</v>
      </c>
      <c r="C17" s="15">
        <v>34</v>
      </c>
      <c r="D17" s="16">
        <v>0</v>
      </c>
    </row>
    <row r="18" spans="1:22" ht="18.75" thickBot="1">
      <c r="B18" s="11" t="s">
        <v>288</v>
      </c>
      <c r="C18" s="17">
        <v>34</v>
      </c>
      <c r="D18" s="18">
        <v>0</v>
      </c>
    </row>
    <row r="19" spans="1:22" ht="18.75" thickBot="1">
      <c r="B19" s="12" t="s">
        <v>392</v>
      </c>
      <c r="C19" s="206">
        <f>IFERROR(LOOKUP(2,1/(C7:C18&lt;&gt;""),C7:C18),"")</f>
        <v>34</v>
      </c>
      <c r="D19" s="207">
        <f>IFERROR(AVERAGE(D7:D18),"")</f>
        <v>0.33333333333333331</v>
      </c>
    </row>
    <row r="20" spans="1:22" ht="17.25">
      <c r="B20" s="5"/>
    </row>
    <row r="21" spans="1:22" ht="17.25" thickBot="1"/>
    <row r="22" spans="1:22" ht="21">
      <c r="B22" s="1970" t="s">
        <v>393</v>
      </c>
      <c r="C22" s="1970"/>
      <c r="D22" s="1970"/>
      <c r="E22" s="1970"/>
      <c r="F22" s="1970"/>
      <c r="G22" s="1970"/>
      <c r="H22" s="1970"/>
      <c r="I22" s="1970"/>
      <c r="J22" s="1970"/>
      <c r="K22" s="1970"/>
      <c r="M22" s="1971" t="s">
        <v>394</v>
      </c>
    </row>
    <row r="23" spans="1:22" s="61" customFormat="1" ht="30" customHeight="1" thickBot="1">
      <c r="A23" s="880" t="s">
        <v>338</v>
      </c>
      <c r="B23" s="63" t="s">
        <v>121</v>
      </c>
      <c r="C23" s="63" t="s">
        <v>395</v>
      </c>
      <c r="D23" s="63" t="s">
        <v>396</v>
      </c>
      <c r="E23" s="63" t="s">
        <v>397</v>
      </c>
      <c r="F23" s="63" t="s">
        <v>398</v>
      </c>
      <c r="G23" s="63" t="s">
        <v>399</v>
      </c>
      <c r="H23" s="63" t="s">
        <v>400</v>
      </c>
      <c r="I23" s="63" t="s">
        <v>401</v>
      </c>
      <c r="J23" s="63" t="s">
        <v>402</v>
      </c>
      <c r="K23" s="63" t="s">
        <v>403</v>
      </c>
      <c r="M23" s="1972"/>
    </row>
    <row r="24" spans="1:22" ht="18">
      <c r="A24" s="882" t="s">
        <v>404</v>
      </c>
      <c r="B24" s="9" t="s">
        <v>278</v>
      </c>
      <c r="C24" s="13">
        <f>'Cat-1'!D22*1000</f>
        <v>0</v>
      </c>
      <c r="D24" s="13">
        <f>'Cat-1'!H22*1000</f>
        <v>0</v>
      </c>
      <c r="E24" s="13">
        <f>'Cat-1'!F22*1000</f>
        <v>0</v>
      </c>
      <c r="F24" s="13">
        <v>0</v>
      </c>
      <c r="G24" s="13">
        <v>0</v>
      </c>
      <c r="H24" s="13">
        <v>0</v>
      </c>
      <c r="I24" s="13">
        <v>0</v>
      </c>
      <c r="J24" s="13">
        <v>0</v>
      </c>
      <c r="K24" s="13">
        <v>0</v>
      </c>
      <c r="M24" s="20" t="str">
        <f t="shared" ref="M24:M35" si="0">IF(((C24/1000)*$Q$26)+((H24/1000)*$Q$27)+((I24/1000)*$Q$28)+(K24/1000)=0,"",((C24/1000)*$Q$26)+((H24/1000)*$Q$27)+((I24/1000)*$Q$28)+(K24/1000))</f>
        <v/>
      </c>
    </row>
    <row r="25" spans="1:22" ht="18">
      <c r="A25" t="s">
        <v>405</v>
      </c>
      <c r="B25" s="10" t="s">
        <v>279</v>
      </c>
      <c r="C25" s="15">
        <f>'Cat-1'!D23*1000</f>
        <v>0</v>
      </c>
      <c r="D25" s="15">
        <f>'Cat-1'!H23*1000</f>
        <v>0</v>
      </c>
      <c r="E25" s="15">
        <f>'Cat-1'!F23*1000</f>
        <v>0</v>
      </c>
      <c r="F25" s="15">
        <v>0</v>
      </c>
      <c r="G25" s="15">
        <v>0</v>
      </c>
      <c r="H25" s="15">
        <v>0</v>
      </c>
      <c r="I25" s="15">
        <v>0</v>
      </c>
      <c r="J25" s="15">
        <v>0</v>
      </c>
      <c r="K25" s="15">
        <v>0</v>
      </c>
      <c r="M25" s="20" t="str">
        <f t="shared" si="0"/>
        <v/>
      </c>
      <c r="P25" s="2" t="s">
        <v>406</v>
      </c>
    </row>
    <row r="26" spans="1:22" ht="18">
      <c r="B26" s="10" t="s">
        <v>280</v>
      </c>
      <c r="C26" s="15">
        <f>'Cat-1'!D24*1000</f>
        <v>0</v>
      </c>
      <c r="D26" s="15">
        <f>'Cat-1'!H24*1000</f>
        <v>0</v>
      </c>
      <c r="E26" s="15">
        <f>'Cat-1'!F24*1000</f>
        <v>0</v>
      </c>
      <c r="F26" s="15">
        <v>0</v>
      </c>
      <c r="G26" s="15">
        <v>0</v>
      </c>
      <c r="H26" s="15">
        <v>0</v>
      </c>
      <c r="I26" s="15">
        <v>0</v>
      </c>
      <c r="J26" s="15">
        <v>0</v>
      </c>
      <c r="K26" s="15">
        <v>0</v>
      </c>
      <c r="M26" s="20" t="str">
        <f t="shared" si="0"/>
        <v/>
      </c>
      <c r="P26" s="2" t="s">
        <v>407</v>
      </c>
      <c r="Q26" s="2">
        <v>4.5454545450000001</v>
      </c>
      <c r="S26" s="1973" t="s">
        <v>408</v>
      </c>
      <c r="T26" s="1974"/>
      <c r="U26" s="1974"/>
      <c r="V26" s="1974"/>
    </row>
    <row r="27" spans="1:22" ht="15.75" customHeight="1">
      <c r="B27" s="10" t="s">
        <v>281</v>
      </c>
      <c r="C27" s="15">
        <f>'Cat-1'!D25*1000</f>
        <v>0</v>
      </c>
      <c r="D27" s="15">
        <f>'Cat-1'!H25*1000</f>
        <v>0</v>
      </c>
      <c r="E27" s="15">
        <f>'Cat-1'!F25*1000</f>
        <v>0</v>
      </c>
      <c r="F27" s="15">
        <v>0</v>
      </c>
      <c r="G27" s="15">
        <v>0</v>
      </c>
      <c r="H27" s="15">
        <v>0</v>
      </c>
      <c r="I27" s="15">
        <v>0</v>
      </c>
      <c r="J27" s="15">
        <v>0</v>
      </c>
      <c r="K27" s="15">
        <v>0</v>
      </c>
      <c r="M27" s="430" t="str">
        <f>IF(((C27/1000)*$Q$26)+((H27/1000)*$Q$27)+((I27/1000)*$Q$28)+(K27/1000)=0,"",((C27/1000)*$Q$26)+((H27/1000)*$Q$27)+((I27/1000)*$Q$28)+(K27/1000))</f>
        <v/>
      </c>
      <c r="P27" s="2" t="s">
        <v>409</v>
      </c>
      <c r="Q27" s="2">
        <v>9.8039215689999999</v>
      </c>
      <c r="S27" s="1974"/>
      <c r="T27" s="1974"/>
      <c r="U27" s="1974"/>
      <c r="V27" s="1974"/>
    </row>
    <row r="28" spans="1:22" ht="18">
      <c r="B28" s="10" t="s">
        <v>132</v>
      </c>
      <c r="C28" s="15">
        <f>'Cat-1'!D26*1000</f>
        <v>27.2</v>
      </c>
      <c r="D28" s="15">
        <f>'Cat-1'!H26*1000</f>
        <v>0</v>
      </c>
      <c r="E28" s="15">
        <f>'Cat-1'!F26*1000</f>
        <v>0</v>
      </c>
      <c r="F28" s="15">
        <v>0</v>
      </c>
      <c r="G28" s="15">
        <v>0</v>
      </c>
      <c r="H28" s="15">
        <v>0</v>
      </c>
      <c r="I28" s="15">
        <v>0</v>
      </c>
      <c r="J28" s="15">
        <v>0</v>
      </c>
      <c r="K28" s="15">
        <v>0</v>
      </c>
      <c r="M28" s="20">
        <f t="shared" si="0"/>
        <v>0.12363636362399999</v>
      </c>
      <c r="P28" s="2" t="s">
        <v>410</v>
      </c>
      <c r="Q28" s="2">
        <v>1.3698630140000001</v>
      </c>
      <c r="S28" s="1974"/>
      <c r="T28" s="1974"/>
      <c r="U28" s="1974"/>
      <c r="V28" s="1974"/>
    </row>
    <row r="29" spans="1:22" ht="18">
      <c r="B29" s="10" t="s">
        <v>282</v>
      </c>
      <c r="C29" s="15">
        <f>'Cat-1'!D27*1000</f>
        <v>0</v>
      </c>
      <c r="D29" s="15">
        <f>'Cat-1'!H27*1000</f>
        <v>0</v>
      </c>
      <c r="E29" s="15">
        <f>'Cat-1'!F27*1000</f>
        <v>11.3</v>
      </c>
      <c r="F29" s="15">
        <v>0</v>
      </c>
      <c r="G29" s="15">
        <v>0</v>
      </c>
      <c r="H29" s="15">
        <v>0</v>
      </c>
      <c r="I29" s="15">
        <v>0</v>
      </c>
      <c r="J29" s="15">
        <v>0</v>
      </c>
      <c r="K29" s="15">
        <v>0</v>
      </c>
      <c r="M29" s="20" t="str">
        <f t="shared" si="0"/>
        <v/>
      </c>
      <c r="P29" s="2" t="s">
        <v>411</v>
      </c>
      <c r="Q29" s="2">
        <v>1</v>
      </c>
      <c r="S29" s="7"/>
      <c r="T29" s="7"/>
      <c r="U29" s="7"/>
      <c r="V29" s="7"/>
    </row>
    <row r="30" spans="1:22" ht="18">
      <c r="B30" s="10" t="s">
        <v>283</v>
      </c>
      <c r="C30" s="15">
        <f>'Cat-1'!D28*1000</f>
        <v>0</v>
      </c>
      <c r="D30" s="15">
        <f>'Cat-1'!H28*1000</f>
        <v>0</v>
      </c>
      <c r="E30" s="15">
        <f>'Cat-1'!F28*1000</f>
        <v>0</v>
      </c>
      <c r="F30" s="15">
        <v>0</v>
      </c>
      <c r="G30" s="15">
        <v>0</v>
      </c>
      <c r="H30" s="15">
        <v>0</v>
      </c>
      <c r="I30" s="15">
        <v>0</v>
      </c>
      <c r="J30" s="15">
        <v>0</v>
      </c>
      <c r="K30" s="15">
        <v>0</v>
      </c>
      <c r="M30" s="20" t="str">
        <f t="shared" si="0"/>
        <v/>
      </c>
      <c r="P30" s="2" t="s">
        <v>412</v>
      </c>
      <c r="Q30" s="2">
        <v>0</v>
      </c>
      <c r="S30" s="7"/>
      <c r="T30" s="7"/>
      <c r="U30" s="7"/>
      <c r="V30" s="7"/>
    </row>
    <row r="31" spans="1:22" ht="18">
      <c r="B31" s="10" t="s">
        <v>284</v>
      </c>
      <c r="C31" s="15">
        <f>'Cat-1'!D29*1000</f>
        <v>0</v>
      </c>
      <c r="D31" s="15">
        <f>'Cat-1'!H29*1000</f>
        <v>0</v>
      </c>
      <c r="E31" s="15">
        <f>'Cat-1'!F29*1000</f>
        <v>0</v>
      </c>
      <c r="F31" s="15">
        <v>0</v>
      </c>
      <c r="G31" s="15">
        <v>0</v>
      </c>
      <c r="H31" s="15">
        <v>0</v>
      </c>
      <c r="I31" s="15">
        <v>0</v>
      </c>
      <c r="J31" s="15">
        <v>0</v>
      </c>
      <c r="K31" s="15">
        <v>0</v>
      </c>
      <c r="M31" s="20" t="str">
        <f t="shared" si="0"/>
        <v/>
      </c>
      <c r="P31" s="2" t="s">
        <v>413</v>
      </c>
      <c r="Q31" s="2">
        <v>0</v>
      </c>
      <c r="S31" s="1973" t="s">
        <v>414</v>
      </c>
      <c r="T31" s="1974"/>
      <c r="U31" s="1974"/>
      <c r="V31" s="1974"/>
    </row>
    <row r="32" spans="1:22" ht="18">
      <c r="B32" s="10" t="s">
        <v>285</v>
      </c>
      <c r="C32" s="15">
        <f>'Cat-1'!D30*1000</f>
        <v>13.6</v>
      </c>
      <c r="D32" s="15">
        <f>'Cat-1'!H30*1000</f>
        <v>0</v>
      </c>
      <c r="E32" s="15">
        <f>'Cat-1'!F30*1000</f>
        <v>0</v>
      </c>
      <c r="F32" s="15">
        <v>0</v>
      </c>
      <c r="G32" s="15">
        <v>0</v>
      </c>
      <c r="H32" s="15">
        <v>0</v>
      </c>
      <c r="I32" s="15">
        <v>0</v>
      </c>
      <c r="J32" s="15">
        <v>0</v>
      </c>
      <c r="K32" s="15">
        <v>0</v>
      </c>
      <c r="M32" s="20">
        <f>IF(((C32/1000)*$Q$26)+((H32/1000)*$Q$27)+((I32/1000)*$Q$28)+(K32/1000)=0,"",((C32/1000)*$Q$26)+((H32/1000)*$Q$27)+((I32/1000)*$Q$28)+(K32/1000))</f>
        <v>6.1818181811999995E-2</v>
      </c>
      <c r="P32" s="2" t="s">
        <v>415</v>
      </c>
      <c r="Q32" s="2">
        <v>0</v>
      </c>
      <c r="S32" s="1974"/>
      <c r="T32" s="1974"/>
      <c r="U32" s="1974"/>
      <c r="V32" s="1974"/>
    </row>
    <row r="33" spans="1:22" ht="18">
      <c r="B33" s="10" t="s">
        <v>286</v>
      </c>
      <c r="C33" s="15">
        <f>'Cat-1'!D31*1000</f>
        <v>0</v>
      </c>
      <c r="D33" s="15">
        <f>'Cat-1'!H31*1000</f>
        <v>0</v>
      </c>
      <c r="E33" s="15">
        <f>'Cat-1'!F31*1000</f>
        <v>0</v>
      </c>
      <c r="F33" s="15">
        <v>0</v>
      </c>
      <c r="G33" s="15">
        <v>0</v>
      </c>
      <c r="H33" s="15">
        <v>0</v>
      </c>
      <c r="I33" s="15">
        <v>0</v>
      </c>
      <c r="J33" s="15">
        <v>0</v>
      </c>
      <c r="K33" s="15">
        <v>0</v>
      </c>
      <c r="M33" s="20" t="str">
        <f t="shared" si="0"/>
        <v/>
      </c>
      <c r="P33" s="2" t="s">
        <v>416</v>
      </c>
      <c r="Q33" s="2">
        <v>0</v>
      </c>
      <c r="S33" s="1974"/>
      <c r="T33" s="1974"/>
      <c r="U33" s="1974"/>
      <c r="V33" s="1974"/>
    </row>
    <row r="34" spans="1:22" ht="18">
      <c r="B34" s="10" t="s">
        <v>287</v>
      </c>
      <c r="C34" s="15">
        <f>'Cat-1'!D32*1000</f>
        <v>13.6</v>
      </c>
      <c r="D34" s="15">
        <f>'Cat-1'!H32*1000</f>
        <v>0</v>
      </c>
      <c r="E34" s="15">
        <f>'Cat-1'!F32*1000</f>
        <v>22.6</v>
      </c>
      <c r="F34" s="15">
        <v>0</v>
      </c>
      <c r="G34" s="15">
        <v>0</v>
      </c>
      <c r="H34" s="15">
        <v>0</v>
      </c>
      <c r="I34" s="15">
        <v>0</v>
      </c>
      <c r="J34" s="15">
        <v>0</v>
      </c>
      <c r="K34" s="15">
        <v>0</v>
      </c>
      <c r="M34" s="20">
        <f t="shared" si="0"/>
        <v>6.1818181811999995E-2</v>
      </c>
      <c r="P34" s="2" t="s">
        <v>417</v>
      </c>
      <c r="Q34" s="2">
        <v>0</v>
      </c>
    </row>
    <row r="35" spans="1:22" ht="18.75" thickBot="1">
      <c r="B35" s="11" t="s">
        <v>288</v>
      </c>
      <c r="C35" s="15">
        <f>'Cat-1'!D33*1000</f>
        <v>0</v>
      </c>
      <c r="D35" s="15">
        <f>'Cat-1'!H33*1000</f>
        <v>0</v>
      </c>
      <c r="E35" s="15">
        <f>'Cat-1'!F33*1000</f>
        <v>0</v>
      </c>
      <c r="F35" s="15">
        <v>0</v>
      </c>
      <c r="G35" s="15">
        <v>0</v>
      </c>
      <c r="H35" s="15">
        <v>0</v>
      </c>
      <c r="I35" s="15">
        <v>0</v>
      </c>
      <c r="J35" s="15">
        <v>0</v>
      </c>
      <c r="K35" s="15">
        <v>0</v>
      </c>
      <c r="M35" s="20" t="str">
        <f t="shared" si="0"/>
        <v/>
      </c>
    </row>
    <row r="36" spans="1:22" ht="18.75" thickBot="1">
      <c r="B36" s="12" t="s">
        <v>334</v>
      </c>
      <c r="C36" s="206">
        <f>IF(SUM(C24:C35)=0,"",SUM(C24:C35))</f>
        <v>54.4</v>
      </c>
      <c r="D36" s="206" t="str">
        <f t="shared" ref="D36:M36" si="1">IF(SUM(D24:D35)=0,"",SUM(D24:D35))</f>
        <v/>
      </c>
      <c r="E36" s="206">
        <f t="shared" si="1"/>
        <v>33.900000000000006</v>
      </c>
      <c r="F36" s="206" t="str">
        <f t="shared" si="1"/>
        <v/>
      </c>
      <c r="G36" s="206" t="str">
        <f t="shared" si="1"/>
        <v/>
      </c>
      <c r="H36" s="206" t="str">
        <f t="shared" si="1"/>
        <v/>
      </c>
      <c r="I36" s="206" t="str">
        <f t="shared" si="1"/>
        <v/>
      </c>
      <c r="J36" s="206" t="str">
        <f t="shared" si="1"/>
        <v/>
      </c>
      <c r="K36" s="206" t="str">
        <f t="shared" si="1"/>
        <v/>
      </c>
      <c r="M36" s="21">
        <f t="shared" si="1"/>
        <v>0.24727272724799998</v>
      </c>
    </row>
    <row r="42" spans="1:22" ht="17.25" thickBot="1">
      <c r="A42" s="1933">
        <v>2024</v>
      </c>
    </row>
    <row r="43" spans="1:22" ht="21.75" thickBot="1">
      <c r="A43" s="1933"/>
      <c r="B43" s="1967" t="s">
        <v>389</v>
      </c>
      <c r="C43" s="1968"/>
      <c r="D43" s="1969"/>
    </row>
    <row r="44" spans="1:22" ht="45.75" thickBot="1">
      <c r="A44" s="880" t="s">
        <v>338</v>
      </c>
      <c r="B44" s="8" t="s">
        <v>121</v>
      </c>
      <c r="C44" s="458" t="s">
        <v>390</v>
      </c>
      <c r="D44" s="458" t="s">
        <v>391</v>
      </c>
      <c r="E44" s="3"/>
    </row>
    <row r="45" spans="1:22" ht="18">
      <c r="A45" s="882" t="s">
        <v>389</v>
      </c>
      <c r="B45" s="9" t="s">
        <v>278</v>
      </c>
      <c r="C45" s="13">
        <v>34</v>
      </c>
      <c r="D45" s="14"/>
    </row>
    <row r="46" spans="1:22" ht="18">
      <c r="A46" t="s">
        <v>241</v>
      </c>
      <c r="B46" s="10" t="s">
        <v>279</v>
      </c>
      <c r="C46" s="15"/>
      <c r="D46" s="16"/>
      <c r="F46" s="4"/>
    </row>
    <row r="47" spans="1:22" ht="18">
      <c r="B47" s="10" t="s">
        <v>280</v>
      </c>
      <c r="C47" s="15"/>
      <c r="D47" s="16"/>
      <c r="F47" s="4"/>
    </row>
    <row r="48" spans="1:22" ht="18">
      <c r="B48" s="10" t="s">
        <v>281</v>
      </c>
      <c r="C48" s="15"/>
      <c r="D48" s="16"/>
    </row>
    <row r="49" spans="1:11" ht="18">
      <c r="B49" s="10" t="s">
        <v>132</v>
      </c>
      <c r="C49" s="15"/>
      <c r="D49" s="16"/>
    </row>
    <row r="50" spans="1:11" ht="18">
      <c r="B50" s="10" t="s">
        <v>282</v>
      </c>
      <c r="C50" s="15"/>
      <c r="D50" s="16"/>
    </row>
    <row r="51" spans="1:11" ht="18">
      <c r="B51" s="10" t="s">
        <v>283</v>
      </c>
      <c r="C51" s="15"/>
      <c r="D51" s="16"/>
    </row>
    <row r="52" spans="1:11" ht="18">
      <c r="B52" s="10" t="s">
        <v>284</v>
      </c>
      <c r="C52" s="15"/>
      <c r="D52" s="16"/>
    </row>
    <row r="53" spans="1:11" ht="18">
      <c r="B53" s="10" t="s">
        <v>285</v>
      </c>
      <c r="C53" s="15"/>
      <c r="D53" s="16"/>
    </row>
    <row r="54" spans="1:11" ht="18">
      <c r="B54" s="10" t="s">
        <v>286</v>
      </c>
      <c r="C54" s="15"/>
      <c r="D54" s="16"/>
    </row>
    <row r="55" spans="1:11" ht="18">
      <c r="B55" s="10" t="s">
        <v>287</v>
      </c>
      <c r="C55" s="15"/>
      <c r="D55" s="16"/>
    </row>
    <row r="56" spans="1:11" ht="18.75" thickBot="1">
      <c r="B56" s="11" t="s">
        <v>288</v>
      </c>
      <c r="C56" s="17"/>
      <c r="D56" s="18"/>
    </row>
    <row r="57" spans="1:11" ht="18.75" thickBot="1">
      <c r="B57" s="12" t="s">
        <v>392</v>
      </c>
      <c r="C57" s="206">
        <f>IFERROR(LOOKUP(2,1/(C45:C56&lt;&gt;""),C45:C56),"")</f>
        <v>34</v>
      </c>
      <c r="D57" s="207" t="str">
        <f>IFERROR(AVERAGE(D45:D56),"")</f>
        <v/>
      </c>
    </row>
    <row r="58" spans="1:11" ht="17.25">
      <c r="B58" s="5"/>
    </row>
    <row r="59" spans="1:11" ht="17.25" thickBot="1"/>
    <row r="60" spans="1:11" ht="21.75" thickBot="1">
      <c r="B60" s="1970" t="s">
        <v>393</v>
      </c>
      <c r="C60" s="1970"/>
      <c r="D60" s="1970"/>
      <c r="E60" s="1970"/>
      <c r="F60" s="1970"/>
      <c r="G60" s="1970"/>
      <c r="H60" s="1970"/>
      <c r="I60" s="1970"/>
      <c r="J60" s="1970"/>
      <c r="K60" s="1970"/>
    </row>
    <row r="61" spans="1:11" ht="18.75" thickBot="1">
      <c r="A61" s="880" t="s">
        <v>338</v>
      </c>
      <c r="B61" s="63" t="s">
        <v>121</v>
      </c>
      <c r="C61" s="63" t="s">
        <v>395</v>
      </c>
      <c r="D61" s="63" t="s">
        <v>396</v>
      </c>
      <c r="E61" s="63" t="s">
        <v>397</v>
      </c>
      <c r="F61" s="63" t="s">
        <v>398</v>
      </c>
      <c r="G61" s="63" t="s">
        <v>399</v>
      </c>
      <c r="H61" s="63" t="s">
        <v>400</v>
      </c>
      <c r="I61" s="63" t="s">
        <v>401</v>
      </c>
      <c r="J61" s="63" t="s">
        <v>402</v>
      </c>
      <c r="K61" s="63" t="s">
        <v>403</v>
      </c>
    </row>
    <row r="62" spans="1:11" ht="18">
      <c r="A62" s="882" t="s">
        <v>404</v>
      </c>
      <c r="B62" s="9" t="s">
        <v>278</v>
      </c>
      <c r="C62" s="13">
        <f>'Cat-1'!D102*1000</f>
        <v>0</v>
      </c>
      <c r="D62" s="13">
        <f>'Cat-1'!H102*1000</f>
        <v>0</v>
      </c>
      <c r="E62" s="13">
        <f>'Cat-1'!F102*1000</f>
        <v>0</v>
      </c>
      <c r="F62" s="13">
        <v>0</v>
      </c>
      <c r="G62" s="13">
        <v>0</v>
      </c>
      <c r="H62" s="13">
        <v>0</v>
      </c>
      <c r="I62" s="13">
        <v>0</v>
      </c>
      <c r="J62" s="13">
        <v>0</v>
      </c>
      <c r="K62" s="13">
        <v>0</v>
      </c>
    </row>
    <row r="63" spans="1:11" ht="18">
      <c r="A63" t="s">
        <v>405</v>
      </c>
      <c r="B63" s="10" t="s">
        <v>279</v>
      </c>
      <c r="C63" s="15">
        <f>'Cat-1'!D103*1000</f>
        <v>0</v>
      </c>
      <c r="D63" s="15">
        <f>'Cat-1'!H103*1000</f>
        <v>0</v>
      </c>
      <c r="E63" s="15">
        <f>'Cat-1'!F103*1000</f>
        <v>0</v>
      </c>
      <c r="F63" s="15">
        <v>0</v>
      </c>
      <c r="G63" s="15">
        <v>0</v>
      </c>
      <c r="H63" s="15">
        <v>0</v>
      </c>
      <c r="I63" s="15">
        <v>0</v>
      </c>
      <c r="J63" s="15">
        <v>0</v>
      </c>
      <c r="K63" s="15">
        <v>0</v>
      </c>
    </row>
    <row r="64" spans="1:11" ht="18">
      <c r="B64" s="10" t="s">
        <v>280</v>
      </c>
      <c r="C64" s="15">
        <f>'Cat-1'!D104*1000</f>
        <v>0</v>
      </c>
      <c r="D64" s="15">
        <f>'Cat-1'!H104*1000</f>
        <v>0</v>
      </c>
      <c r="E64" s="15">
        <f>'Cat-1'!F104*1000</f>
        <v>0</v>
      </c>
      <c r="F64" s="15">
        <v>0</v>
      </c>
      <c r="G64" s="15">
        <v>0</v>
      </c>
      <c r="H64" s="15">
        <v>0</v>
      </c>
      <c r="I64" s="15">
        <v>0</v>
      </c>
      <c r="J64" s="15">
        <v>0</v>
      </c>
      <c r="K64" s="15">
        <v>0</v>
      </c>
    </row>
    <row r="65" spans="2:11" ht="18">
      <c r="B65" s="10" t="s">
        <v>281</v>
      </c>
      <c r="C65" s="15">
        <f>'Cat-1'!D105*1000</f>
        <v>0</v>
      </c>
      <c r="D65" s="15">
        <f>'Cat-1'!H105*1000</f>
        <v>0</v>
      </c>
      <c r="E65" s="15">
        <f>'Cat-1'!F105*1000</f>
        <v>0</v>
      </c>
      <c r="F65" s="15">
        <v>0</v>
      </c>
      <c r="G65" s="15">
        <v>0</v>
      </c>
      <c r="H65" s="15">
        <v>0</v>
      </c>
      <c r="I65" s="15">
        <v>0</v>
      </c>
      <c r="J65" s="15">
        <v>0</v>
      </c>
      <c r="K65" s="15">
        <v>0</v>
      </c>
    </row>
    <row r="66" spans="2:11" ht="18">
      <c r="B66" s="10" t="s">
        <v>132</v>
      </c>
      <c r="C66" s="15">
        <f>'Cat-1'!D106*1000</f>
        <v>0</v>
      </c>
      <c r="D66" s="15">
        <f>'Cat-1'!H106*1000</f>
        <v>0</v>
      </c>
      <c r="E66" s="15">
        <f>'Cat-1'!F106*1000</f>
        <v>0</v>
      </c>
      <c r="F66" s="15">
        <v>0</v>
      </c>
      <c r="G66" s="15">
        <v>0</v>
      </c>
      <c r="H66" s="15">
        <v>0</v>
      </c>
      <c r="I66" s="15">
        <v>0</v>
      </c>
      <c r="J66" s="15">
        <v>0</v>
      </c>
      <c r="K66" s="15">
        <v>0</v>
      </c>
    </row>
    <row r="67" spans="2:11" ht="18">
      <c r="B67" s="10" t="s">
        <v>282</v>
      </c>
      <c r="C67" s="15">
        <f>'Cat-1'!D107*1000</f>
        <v>0</v>
      </c>
      <c r="D67" s="15">
        <f>'Cat-1'!H107*1000</f>
        <v>0</v>
      </c>
      <c r="E67" s="15">
        <f>'Cat-1'!F107*1000</f>
        <v>0</v>
      </c>
      <c r="F67" s="15">
        <v>0</v>
      </c>
      <c r="G67" s="15">
        <v>0</v>
      </c>
      <c r="H67" s="15">
        <v>0</v>
      </c>
      <c r="I67" s="15">
        <v>0</v>
      </c>
      <c r="J67" s="15">
        <v>0</v>
      </c>
      <c r="K67" s="15">
        <v>0</v>
      </c>
    </row>
    <row r="68" spans="2:11" ht="18">
      <c r="B68" s="10" t="s">
        <v>283</v>
      </c>
      <c r="C68" s="15">
        <f>'Cat-1'!D108*1000</f>
        <v>0</v>
      </c>
      <c r="D68" s="15">
        <f>'Cat-1'!H108*1000</f>
        <v>0</v>
      </c>
      <c r="E68" s="15">
        <f>'Cat-1'!F108*1000</f>
        <v>0</v>
      </c>
      <c r="F68" s="15">
        <v>0</v>
      </c>
      <c r="G68" s="15">
        <v>0</v>
      </c>
      <c r="H68" s="15">
        <v>0</v>
      </c>
      <c r="I68" s="15">
        <v>0</v>
      </c>
      <c r="J68" s="15">
        <v>0</v>
      </c>
      <c r="K68" s="15">
        <v>0</v>
      </c>
    </row>
    <row r="69" spans="2:11" ht="18">
      <c r="B69" s="10" t="s">
        <v>284</v>
      </c>
      <c r="C69" s="15">
        <f>'Cat-1'!D109*1000</f>
        <v>0</v>
      </c>
      <c r="D69" s="15">
        <f>'Cat-1'!H109*1000</f>
        <v>0</v>
      </c>
      <c r="E69" s="15">
        <f>'Cat-1'!F109*1000</f>
        <v>0</v>
      </c>
      <c r="F69" s="15">
        <v>0</v>
      </c>
      <c r="G69" s="15">
        <v>0</v>
      </c>
      <c r="H69" s="15">
        <v>0</v>
      </c>
      <c r="I69" s="15">
        <v>0</v>
      </c>
      <c r="J69" s="15">
        <v>0</v>
      </c>
      <c r="K69" s="15">
        <v>0</v>
      </c>
    </row>
    <row r="70" spans="2:11" ht="18">
      <c r="B70" s="10" t="s">
        <v>285</v>
      </c>
      <c r="C70" s="15">
        <f>'Cat-1'!D110*1000</f>
        <v>0</v>
      </c>
      <c r="D70" s="15">
        <f>'Cat-1'!H110*1000</f>
        <v>0</v>
      </c>
      <c r="E70" s="15">
        <f>'Cat-1'!F110*1000</f>
        <v>0</v>
      </c>
      <c r="F70" s="15">
        <v>0</v>
      </c>
      <c r="G70" s="15">
        <v>0</v>
      </c>
      <c r="H70" s="15">
        <v>0</v>
      </c>
      <c r="I70" s="15">
        <v>0</v>
      </c>
      <c r="J70" s="15">
        <v>0</v>
      </c>
      <c r="K70" s="15">
        <v>0</v>
      </c>
    </row>
    <row r="71" spans="2:11" ht="18">
      <c r="B71" s="10" t="s">
        <v>286</v>
      </c>
      <c r="C71" s="15">
        <f>'Cat-1'!D111*1000</f>
        <v>0</v>
      </c>
      <c r="D71" s="15">
        <f>'Cat-1'!H111*1000</f>
        <v>0</v>
      </c>
      <c r="E71" s="15">
        <f>'Cat-1'!F111*1000</f>
        <v>0</v>
      </c>
      <c r="F71" s="15">
        <v>0</v>
      </c>
      <c r="G71" s="15">
        <v>0</v>
      </c>
      <c r="H71" s="15">
        <v>0</v>
      </c>
      <c r="I71" s="15">
        <v>0</v>
      </c>
      <c r="J71" s="15">
        <v>0</v>
      </c>
      <c r="K71" s="15">
        <v>0</v>
      </c>
    </row>
    <row r="72" spans="2:11" ht="18">
      <c r="B72" s="10" t="s">
        <v>287</v>
      </c>
      <c r="C72" s="15">
        <f>'Cat-1'!D112*1000</f>
        <v>0</v>
      </c>
      <c r="D72" s="15">
        <f>'Cat-1'!H112*1000</f>
        <v>0</v>
      </c>
      <c r="E72" s="15">
        <f>'Cat-1'!F112*1000</f>
        <v>0</v>
      </c>
      <c r="F72" s="15">
        <v>0</v>
      </c>
      <c r="G72" s="15">
        <v>0</v>
      </c>
      <c r="H72" s="15">
        <v>0</v>
      </c>
      <c r="I72" s="15">
        <v>0</v>
      </c>
      <c r="J72" s="15">
        <v>0</v>
      </c>
      <c r="K72" s="15">
        <v>0</v>
      </c>
    </row>
    <row r="73" spans="2:11" ht="18.75" thickBot="1">
      <c r="B73" s="11" t="s">
        <v>288</v>
      </c>
      <c r="C73" s="15">
        <f>'Cat-1'!D113*1000</f>
        <v>0</v>
      </c>
      <c r="D73" s="15">
        <f>'Cat-1'!H113*1000</f>
        <v>0</v>
      </c>
      <c r="E73" s="15">
        <f>'Cat-1'!F113*1000</f>
        <v>0</v>
      </c>
      <c r="F73" s="15">
        <v>0</v>
      </c>
      <c r="G73" s="15">
        <v>0</v>
      </c>
      <c r="H73" s="15">
        <v>0</v>
      </c>
      <c r="I73" s="15">
        <v>0</v>
      </c>
      <c r="J73" s="15">
        <v>0</v>
      </c>
      <c r="K73" s="15">
        <v>0</v>
      </c>
    </row>
    <row r="74" spans="2:11" ht="18.75" thickBot="1">
      <c r="B74" s="12" t="s">
        <v>334</v>
      </c>
      <c r="C74" s="206" t="str">
        <f>IF(SUM(C62:C73)=0,"",SUM(C62:C73))</f>
        <v/>
      </c>
      <c r="D74" s="206" t="str">
        <f t="shared" ref="D74:K74" si="2">IF(SUM(D62:D73)=0,"",SUM(D62:D73))</f>
        <v/>
      </c>
      <c r="E74" s="206" t="str">
        <f t="shared" si="2"/>
        <v/>
      </c>
      <c r="F74" s="206" t="str">
        <f t="shared" si="2"/>
        <v/>
      </c>
      <c r="G74" s="206" t="str">
        <f t="shared" si="2"/>
        <v/>
      </c>
      <c r="H74" s="206" t="str">
        <f t="shared" si="2"/>
        <v/>
      </c>
      <c r="I74" s="206" t="str">
        <f t="shared" si="2"/>
        <v/>
      </c>
      <c r="J74" s="206" t="str">
        <f t="shared" si="2"/>
        <v/>
      </c>
      <c r="K74" s="206" t="str">
        <f t="shared" si="2"/>
        <v/>
      </c>
    </row>
  </sheetData>
  <mergeCells count="9">
    <mergeCell ref="B5:D5"/>
    <mergeCell ref="A4:A5"/>
    <mergeCell ref="A42:A43"/>
    <mergeCell ref="B43:D43"/>
    <mergeCell ref="B60:K60"/>
    <mergeCell ref="M22:M23"/>
    <mergeCell ref="S26:V28"/>
    <mergeCell ref="S31:V33"/>
    <mergeCell ref="B22:K22"/>
  </mergeCells>
  <hyperlinks>
    <hyperlink ref="S26" r:id="rId1" xr:uid="{DEC18001-44AF-4560-B436-4F26E12C9AF5}"/>
    <hyperlink ref="S31" r:id="rId2" xr:uid="{8851617E-6F84-49E5-B096-3C07A4387BFE}"/>
  </hyperlinks>
  <pageMargins left="0.7" right="0.7" top="0.75" bottom="0.75" header="0.3" footer="0.3"/>
  <pageSetup orientation="portrait" r:id="rId3"/>
  <drawing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ED79D-E569-47F7-AB1B-6355781C8110}">
  <dimension ref="A1:L79"/>
  <sheetViews>
    <sheetView showGridLines="0" zoomScale="91" zoomScaleNormal="91" workbookViewId="0">
      <pane xSplit="1" ySplit="3" topLeftCell="B4" activePane="bottomRight" state="frozen"/>
      <selection pane="topRight" activeCell="B1" sqref="B1"/>
      <selection pane="bottomLeft" activeCell="A4" sqref="A4"/>
      <selection pane="bottomRight"/>
    </sheetView>
  </sheetViews>
  <sheetFormatPr defaultColWidth="9.140625" defaultRowHeight="16.5"/>
  <cols>
    <col min="1" max="1" width="34.7109375" style="41" customWidth="1"/>
    <col min="2" max="2" width="7.85546875" style="41" bestFit="1" customWidth="1"/>
    <col min="3" max="4" width="20.42578125" style="41" bestFit="1" customWidth="1"/>
    <col min="5" max="5" width="22.42578125" style="41" bestFit="1" customWidth="1"/>
    <col min="6" max="6" width="14.140625" style="41" bestFit="1" customWidth="1"/>
    <col min="7" max="7" width="25.5703125" style="41" bestFit="1" customWidth="1"/>
    <col min="8" max="8" width="20" style="41" bestFit="1" customWidth="1"/>
    <col min="9" max="9" width="14.28515625" style="41" bestFit="1" customWidth="1"/>
    <col min="10" max="10" width="22.140625" style="41" bestFit="1" customWidth="1"/>
    <col min="11" max="11" width="8.140625" style="41" customWidth="1"/>
    <col min="12" max="12" width="25.42578125" style="41" bestFit="1" customWidth="1"/>
    <col min="13" max="16384" width="9.140625" style="41"/>
  </cols>
  <sheetData>
    <row r="1" spans="1:12" ht="35.25" customHeight="1"/>
    <row r="2" spans="1:12" ht="35.25" customHeight="1"/>
    <row r="3" spans="1:12" ht="35.25" customHeight="1"/>
    <row r="4" spans="1:12" ht="35.25" customHeight="1" thickBot="1">
      <c r="A4" s="1933">
        <v>2023</v>
      </c>
    </row>
    <row r="5" spans="1:12" s="43" customFormat="1" ht="21.75" thickBot="1">
      <c r="A5" s="1933"/>
      <c r="B5" s="1977" t="s">
        <v>418</v>
      </c>
      <c r="C5" s="1978"/>
      <c r="D5" s="1978"/>
      <c r="E5" s="1978"/>
      <c r="F5" s="1978"/>
      <c r="G5" s="1978"/>
      <c r="H5" s="1978"/>
      <c r="I5" s="1978"/>
      <c r="J5" s="1979"/>
    </row>
    <row r="6" spans="1:12" s="44" customFormat="1" ht="18.75" thickBot="1">
      <c r="B6" s="63" t="s">
        <v>121</v>
      </c>
      <c r="C6" s="63" t="s">
        <v>419</v>
      </c>
      <c r="D6" s="63" t="s">
        <v>420</v>
      </c>
      <c r="E6" s="63" t="s">
        <v>421</v>
      </c>
      <c r="F6" s="63" t="s">
        <v>422</v>
      </c>
      <c r="G6" s="63" t="s">
        <v>423</v>
      </c>
      <c r="H6" s="63" t="s">
        <v>424</v>
      </c>
      <c r="I6" s="63" t="s">
        <v>425</v>
      </c>
      <c r="J6" s="63" t="s">
        <v>422</v>
      </c>
    </row>
    <row r="7" spans="1:12" ht="18">
      <c r="B7" s="9" t="s">
        <v>278</v>
      </c>
      <c r="C7" s="28"/>
      <c r="D7" s="28"/>
      <c r="E7" s="28"/>
      <c r="F7" s="48" t="str">
        <f>IF(SUM(C7:E7)=0,"",SUM(C7:E7))</f>
        <v/>
      </c>
      <c r="G7" s="28"/>
      <c r="H7" s="28"/>
      <c r="I7" s="28">
        <f>Water!W58</f>
        <v>2683</v>
      </c>
      <c r="J7" s="48">
        <f>IF(SUM(G7:I7)=0,"",SUM(G7:I7))</f>
        <v>2683</v>
      </c>
    </row>
    <row r="8" spans="1:12" ht="18">
      <c r="B8" s="10" t="s">
        <v>279</v>
      </c>
      <c r="C8" s="34"/>
      <c r="D8" s="34"/>
      <c r="E8" s="34"/>
      <c r="F8" s="51" t="str">
        <f t="shared" ref="F8:F18" si="0">IF(SUM(C8:E8)=0,"",SUM(C8:E8))</f>
        <v/>
      </c>
      <c r="G8" s="34"/>
      <c r="H8" s="34"/>
      <c r="I8" s="34">
        <f>Water!W59</f>
        <v>2872</v>
      </c>
      <c r="J8" s="51">
        <f t="shared" ref="J8:J18" si="1">IF(SUM(G8:I8)=0,"",SUM(G8:I8))</f>
        <v>2872</v>
      </c>
    </row>
    <row r="9" spans="1:12" ht="18">
      <c r="B9" s="10" t="s">
        <v>280</v>
      </c>
      <c r="C9" s="34"/>
      <c r="D9" s="34"/>
      <c r="E9" s="34"/>
      <c r="F9" s="51" t="str">
        <f t="shared" si="0"/>
        <v/>
      </c>
      <c r="G9" s="34"/>
      <c r="H9" s="34"/>
      <c r="I9" s="34">
        <f>Water!W60</f>
        <v>3891</v>
      </c>
      <c r="J9" s="51">
        <f t="shared" si="1"/>
        <v>3891</v>
      </c>
    </row>
    <row r="10" spans="1:12" ht="18">
      <c r="B10" s="10" t="s">
        <v>281</v>
      </c>
      <c r="C10" s="34"/>
      <c r="D10" s="34"/>
      <c r="E10" s="34"/>
      <c r="F10" s="51" t="str">
        <f t="shared" si="0"/>
        <v/>
      </c>
      <c r="G10" s="34"/>
      <c r="H10" s="34"/>
      <c r="I10" s="34">
        <f>Water!W61</f>
        <v>3256</v>
      </c>
      <c r="J10" s="51">
        <f t="shared" si="1"/>
        <v>3256</v>
      </c>
    </row>
    <row r="11" spans="1:12" ht="18">
      <c r="B11" s="10" t="s">
        <v>132</v>
      </c>
      <c r="C11" s="34"/>
      <c r="D11" s="34"/>
      <c r="E11" s="34"/>
      <c r="F11" s="51" t="str">
        <f t="shared" si="0"/>
        <v/>
      </c>
      <c r="G11" s="34"/>
      <c r="H11" s="34"/>
      <c r="I11" s="34">
        <f>Water!W62</f>
        <v>3662</v>
      </c>
      <c r="J11" s="51">
        <f t="shared" si="1"/>
        <v>3662</v>
      </c>
      <c r="L11" s="449">
        <f>181/I11</f>
        <v>4.9426542872747135E-2</v>
      </c>
    </row>
    <row r="12" spans="1:12" ht="18">
      <c r="B12" s="10" t="s">
        <v>282</v>
      </c>
      <c r="C12" s="34"/>
      <c r="D12" s="34"/>
      <c r="E12" s="34"/>
      <c r="F12" s="51" t="str">
        <f t="shared" si="0"/>
        <v/>
      </c>
      <c r="G12" s="34"/>
      <c r="H12" s="34"/>
      <c r="I12" s="34">
        <f>Water!W63</f>
        <v>3266</v>
      </c>
      <c r="J12" s="51">
        <f t="shared" si="1"/>
        <v>3266</v>
      </c>
      <c r="L12" s="449">
        <f>H30/I12</f>
        <v>9.2774035517452544E-2</v>
      </c>
    </row>
    <row r="13" spans="1:12" ht="18">
      <c r="B13" s="10" t="s">
        <v>283</v>
      </c>
      <c r="C13" s="34"/>
      <c r="D13" s="34"/>
      <c r="E13" s="34"/>
      <c r="F13" s="51" t="str">
        <f t="shared" si="0"/>
        <v/>
      </c>
      <c r="G13" s="34"/>
      <c r="H13" s="34"/>
      <c r="I13" s="34">
        <f>Water!W64</f>
        <v>2637</v>
      </c>
      <c r="J13" s="51">
        <f t="shared" si="1"/>
        <v>2637</v>
      </c>
    </row>
    <row r="14" spans="1:12" ht="18">
      <c r="B14" s="10" t="s">
        <v>284</v>
      </c>
      <c r="C14" s="34"/>
      <c r="D14" s="34"/>
      <c r="E14" s="34"/>
      <c r="F14" s="51" t="str">
        <f t="shared" si="0"/>
        <v/>
      </c>
      <c r="G14" s="34"/>
      <c r="H14" s="34"/>
      <c r="I14" s="34">
        <f>Water!W65</f>
        <v>1467</v>
      </c>
      <c r="J14" s="51">
        <f t="shared" si="1"/>
        <v>1467</v>
      </c>
    </row>
    <row r="15" spans="1:12" ht="18">
      <c r="B15" s="10" t="s">
        <v>285</v>
      </c>
      <c r="C15" s="34"/>
      <c r="D15" s="34"/>
      <c r="E15" s="34"/>
      <c r="F15" s="51" t="str">
        <f t="shared" si="0"/>
        <v/>
      </c>
      <c r="G15" s="34"/>
      <c r="H15" s="34"/>
      <c r="I15" s="34">
        <f>Water!W66</f>
        <v>2517</v>
      </c>
      <c r="J15" s="51">
        <f t="shared" si="1"/>
        <v>2517</v>
      </c>
    </row>
    <row r="16" spans="1:12" ht="18">
      <c r="B16" s="10" t="s">
        <v>286</v>
      </c>
      <c r="C16" s="34"/>
      <c r="D16" s="34"/>
      <c r="E16" s="34"/>
      <c r="F16" s="51" t="str">
        <f t="shared" si="0"/>
        <v/>
      </c>
      <c r="G16" s="34"/>
      <c r="H16" s="34"/>
      <c r="I16" s="34">
        <f>Water!W67</f>
        <v>2520</v>
      </c>
      <c r="J16" s="51">
        <f t="shared" si="1"/>
        <v>2520</v>
      </c>
    </row>
    <row r="17" spans="2:12" ht="18">
      <c r="B17" s="10" t="s">
        <v>287</v>
      </c>
      <c r="C17" s="34"/>
      <c r="D17" s="34"/>
      <c r="E17" s="34"/>
      <c r="F17" s="51" t="str">
        <f t="shared" si="0"/>
        <v/>
      </c>
      <c r="G17" s="34"/>
      <c r="H17" s="34"/>
      <c r="I17" s="34">
        <f>Water!W68</f>
        <v>2851</v>
      </c>
      <c r="J17" s="51">
        <f t="shared" si="1"/>
        <v>2851</v>
      </c>
    </row>
    <row r="18" spans="2:12" ht="18.75" thickBot="1">
      <c r="B18" s="11" t="s">
        <v>288</v>
      </c>
      <c r="C18" s="59"/>
      <c r="D18" s="59"/>
      <c r="E18" s="59"/>
      <c r="F18" s="60" t="str">
        <f t="shared" si="0"/>
        <v/>
      </c>
      <c r="G18" s="59"/>
      <c r="H18" s="59"/>
      <c r="I18" s="59">
        <f>Water!W69</f>
        <v>2426</v>
      </c>
      <c r="J18" s="60">
        <f t="shared" si="1"/>
        <v>2426</v>
      </c>
      <c r="L18" s="41" t="s">
        <v>426</v>
      </c>
    </row>
    <row r="19" spans="2:12" ht="18.75" thickBot="1">
      <c r="B19" s="12" t="s">
        <v>334</v>
      </c>
      <c r="C19" s="57" t="str">
        <f>IF(SUM(C7:C18)=0,"",SUM(C7:C18))</f>
        <v/>
      </c>
      <c r="D19" s="57" t="str">
        <f t="shared" ref="D19:J19" si="2">IF(SUM(D7:D18)=0,"",SUM(D7:D18))</f>
        <v/>
      </c>
      <c r="E19" s="57" t="str">
        <f t="shared" si="2"/>
        <v/>
      </c>
      <c r="F19" s="57" t="str">
        <f t="shared" si="2"/>
        <v/>
      </c>
      <c r="G19" s="57" t="str">
        <f t="shared" si="2"/>
        <v/>
      </c>
      <c r="H19" s="57" t="str">
        <f t="shared" si="2"/>
        <v/>
      </c>
      <c r="I19" s="57">
        <f t="shared" si="2"/>
        <v>34048</v>
      </c>
      <c r="J19" s="57">
        <f t="shared" si="2"/>
        <v>34048</v>
      </c>
      <c r="L19" s="41" t="s">
        <v>427</v>
      </c>
    </row>
    <row r="20" spans="2:12" ht="18.75" thickBot="1">
      <c r="B20" s="12" t="s">
        <v>428</v>
      </c>
      <c r="C20" s="57" t="str">
        <f>IFERROR(AVERAGE(C7:C18),"")</f>
        <v/>
      </c>
      <c r="D20" s="57" t="str">
        <f t="shared" ref="D20:J20" si="3">IFERROR(AVERAGE(D7:D18),"")</f>
        <v/>
      </c>
      <c r="E20" s="57" t="str">
        <f t="shared" si="3"/>
        <v/>
      </c>
      <c r="F20" s="57" t="str">
        <f t="shared" si="3"/>
        <v/>
      </c>
      <c r="G20" s="57" t="str">
        <f t="shared" si="3"/>
        <v/>
      </c>
      <c r="H20" s="57" t="str">
        <f t="shared" si="3"/>
        <v/>
      </c>
      <c r="I20" s="57">
        <f t="shared" si="3"/>
        <v>2837.3333333333335</v>
      </c>
      <c r="J20" s="57">
        <f t="shared" si="3"/>
        <v>2837.3333333333335</v>
      </c>
      <c r="L20" s="41" t="s">
        <v>429</v>
      </c>
    </row>
    <row r="21" spans="2:12">
      <c r="C21" s="1981" t="s">
        <v>430</v>
      </c>
      <c r="D21" s="1981"/>
      <c r="E21" s="1981"/>
      <c r="F21" s="1981"/>
    </row>
    <row r="22" spans="2:12" ht="17.25" thickBot="1"/>
    <row r="23" spans="2:12" ht="21.75" customHeight="1" thickBot="1">
      <c r="B23" s="1980" t="s">
        <v>431</v>
      </c>
      <c r="C23" s="1980"/>
      <c r="D23" s="1980"/>
      <c r="E23" s="1980"/>
      <c r="G23" s="1934" t="s">
        <v>432</v>
      </c>
      <c r="H23" s="1936"/>
      <c r="J23" s="1982" t="s">
        <v>433</v>
      </c>
    </row>
    <row r="24" spans="2:12" s="6" customFormat="1" ht="18.75" thickBot="1">
      <c r="B24" s="19" t="s">
        <v>121</v>
      </c>
      <c r="C24" s="19" t="s">
        <v>271</v>
      </c>
      <c r="D24" s="19" t="s">
        <v>434</v>
      </c>
      <c r="E24" s="19" t="s">
        <v>435</v>
      </c>
      <c r="F24" s="86"/>
      <c r="G24" s="19" t="s">
        <v>121</v>
      </c>
      <c r="H24" s="19" t="s">
        <v>436</v>
      </c>
      <c r="J24" s="1983"/>
      <c r="K24" s="41"/>
    </row>
    <row r="25" spans="2:12" ht="18">
      <c r="B25" s="9" t="s">
        <v>278</v>
      </c>
      <c r="C25" s="22">
        <f>'Recycle Water'!F5</f>
        <v>55.4</v>
      </c>
      <c r="D25" s="22"/>
      <c r="E25" s="22"/>
      <c r="G25" s="9" t="s">
        <v>278</v>
      </c>
      <c r="H25" s="22">
        <f>'Rain water Collection'!F6</f>
        <v>0</v>
      </c>
      <c r="J25" s="22">
        <f>IFERROR(J7+H25,"")</f>
        <v>2683</v>
      </c>
      <c r="K25" s="1975" t="s">
        <v>437</v>
      </c>
      <c r="L25" s="1976"/>
    </row>
    <row r="26" spans="2:12" ht="18">
      <c r="B26" s="10" t="s">
        <v>279</v>
      </c>
      <c r="C26" s="23">
        <f>'Recycle Water'!F6</f>
        <v>105.9</v>
      </c>
      <c r="D26" s="23"/>
      <c r="E26" s="23"/>
      <c r="G26" s="10" t="s">
        <v>279</v>
      </c>
      <c r="H26" s="23">
        <f>'Rain water Collection'!F7</f>
        <v>0</v>
      </c>
      <c r="J26" s="23">
        <f t="shared" ref="J26:J36" si="4">IFERROR(J8+H26,"")</f>
        <v>2872</v>
      </c>
      <c r="K26" s="1975"/>
      <c r="L26" s="1976"/>
    </row>
    <row r="27" spans="2:12" ht="18">
      <c r="B27" s="10" t="s">
        <v>280</v>
      </c>
      <c r="C27" s="23">
        <f>'Recycle Water'!F7</f>
        <v>78.5</v>
      </c>
      <c r="D27" s="23"/>
      <c r="E27" s="23"/>
      <c r="G27" s="10" t="s">
        <v>280</v>
      </c>
      <c r="H27" s="23">
        <f>'Rain water Collection'!F8</f>
        <v>0</v>
      </c>
      <c r="J27" s="23">
        <f t="shared" si="4"/>
        <v>3891</v>
      </c>
      <c r="K27" s="1975"/>
      <c r="L27" s="1976"/>
    </row>
    <row r="28" spans="2:12" ht="18">
      <c r="B28" s="10" t="s">
        <v>281</v>
      </c>
      <c r="C28" s="23">
        <f>'Recycle Water'!F8</f>
        <v>96.6</v>
      </c>
      <c r="D28" s="23"/>
      <c r="E28" s="23"/>
      <c r="G28" s="10" t="s">
        <v>281</v>
      </c>
      <c r="H28" s="23">
        <f>'Rain water Collection'!F9</f>
        <v>0</v>
      </c>
      <c r="J28" s="23">
        <f t="shared" si="4"/>
        <v>3256</v>
      </c>
      <c r="K28" s="1975"/>
      <c r="L28" s="1976"/>
    </row>
    <row r="29" spans="2:12" ht="18">
      <c r="B29" s="10" t="s">
        <v>132</v>
      </c>
      <c r="C29" s="23">
        <f>'Recycle Water'!F9</f>
        <v>144.4</v>
      </c>
      <c r="D29" s="23"/>
      <c r="E29" s="23"/>
      <c r="G29" s="10" t="s">
        <v>132</v>
      </c>
      <c r="H29" s="23">
        <f>'Rain water Collection'!F10</f>
        <v>181</v>
      </c>
      <c r="J29" s="23">
        <f t="shared" si="4"/>
        <v>3843</v>
      </c>
      <c r="K29" s="1975"/>
      <c r="L29" s="1976"/>
    </row>
    <row r="30" spans="2:12" ht="18">
      <c r="B30" s="10" t="s">
        <v>282</v>
      </c>
      <c r="C30" s="23">
        <f>'Recycle Water'!F10</f>
        <v>204</v>
      </c>
      <c r="D30" s="23"/>
      <c r="E30" s="23"/>
      <c r="G30" s="10" t="s">
        <v>282</v>
      </c>
      <c r="H30" s="23">
        <f>'Rain water Collection'!F11</f>
        <v>303</v>
      </c>
      <c r="J30" s="23">
        <f t="shared" si="4"/>
        <v>3569</v>
      </c>
      <c r="K30" s="1975"/>
      <c r="L30" s="1976"/>
    </row>
    <row r="31" spans="2:12" ht="18">
      <c r="B31" s="10" t="s">
        <v>283</v>
      </c>
      <c r="C31" s="23">
        <f>'Recycle Water'!F11</f>
        <v>159.69999999999999</v>
      </c>
      <c r="D31" s="23"/>
      <c r="E31" s="23"/>
      <c r="G31" s="10" t="s">
        <v>283</v>
      </c>
      <c r="H31" s="23">
        <f>'Rain water Collection'!F12</f>
        <v>168</v>
      </c>
      <c r="J31" s="23">
        <f t="shared" si="4"/>
        <v>2805</v>
      </c>
    </row>
    <row r="32" spans="2:12" ht="18">
      <c r="B32" s="10" t="s">
        <v>284</v>
      </c>
      <c r="C32" s="23">
        <f>'Recycle Water'!F12</f>
        <v>201.9</v>
      </c>
      <c r="D32" s="23"/>
      <c r="E32" s="23"/>
      <c r="G32" s="10" t="s">
        <v>284</v>
      </c>
      <c r="H32" s="23">
        <f>'Rain water Collection'!F13</f>
        <v>716</v>
      </c>
      <c r="J32" s="23">
        <f t="shared" si="4"/>
        <v>2183</v>
      </c>
      <c r="L32" s="449">
        <f>H32/J32</f>
        <v>0.32798900595510766</v>
      </c>
    </row>
    <row r="33" spans="1:12" ht="18">
      <c r="B33" s="10" t="s">
        <v>285</v>
      </c>
      <c r="C33" s="23">
        <f>'Recycle Water'!F13</f>
        <v>227.4</v>
      </c>
      <c r="D33" s="23"/>
      <c r="E33" s="23"/>
      <c r="G33" s="10" t="s">
        <v>285</v>
      </c>
      <c r="H33" s="23">
        <f>'Rain water Collection'!F14</f>
        <v>158</v>
      </c>
      <c r="J33" s="23">
        <f t="shared" si="4"/>
        <v>2675</v>
      </c>
      <c r="L33" s="449">
        <f t="shared" ref="L33:L34" si="5">H33/J33</f>
        <v>5.9065420560747664E-2</v>
      </c>
    </row>
    <row r="34" spans="1:12" ht="18">
      <c r="B34" s="10" t="s">
        <v>286</v>
      </c>
      <c r="C34" s="23">
        <f>'Recycle Water'!F14</f>
        <v>330.4</v>
      </c>
      <c r="D34" s="23"/>
      <c r="E34" s="23"/>
      <c r="G34" s="10" t="s">
        <v>286</v>
      </c>
      <c r="H34" s="23">
        <f>'Rain water Collection'!F15</f>
        <v>149</v>
      </c>
      <c r="J34" s="23">
        <f t="shared" si="4"/>
        <v>2669</v>
      </c>
      <c r="L34" s="449">
        <f t="shared" si="5"/>
        <v>5.5826152116897718E-2</v>
      </c>
    </row>
    <row r="35" spans="1:12" ht="18">
      <c r="B35" s="10" t="s">
        <v>287</v>
      </c>
      <c r="C35" s="23">
        <f>'Recycle Water'!F15</f>
        <v>290.2</v>
      </c>
      <c r="D35" s="23"/>
      <c r="E35" s="23"/>
      <c r="G35" s="10" t="s">
        <v>287</v>
      </c>
      <c r="H35" s="23">
        <f>'Rain water Collection'!F16</f>
        <v>35</v>
      </c>
      <c r="J35" s="23">
        <f t="shared" si="4"/>
        <v>2886</v>
      </c>
      <c r="L35" s="449"/>
    </row>
    <row r="36" spans="1:12" ht="18.75" thickBot="1">
      <c r="B36" s="11" t="s">
        <v>288</v>
      </c>
      <c r="C36" s="24">
        <f>'Recycle Water'!F16</f>
        <v>264.39999999999998</v>
      </c>
      <c r="D36" s="24"/>
      <c r="E36" s="24"/>
      <c r="G36" s="11" t="s">
        <v>288</v>
      </c>
      <c r="H36" s="23">
        <f>'Rain water Collection'!F17</f>
        <v>0</v>
      </c>
      <c r="J36" s="23">
        <f t="shared" si="4"/>
        <v>2426</v>
      </c>
      <c r="L36" s="449"/>
    </row>
    <row r="37" spans="1:12" ht="18.75" thickBot="1">
      <c r="B37" s="12" t="s">
        <v>334</v>
      </c>
      <c r="C37" s="79">
        <f>IF(SUM(C25:C36)=0,"",SUM(C25:C36))</f>
        <v>2158.8000000000002</v>
      </c>
      <c r="D37" s="79" t="str">
        <f t="shared" ref="D37" si="6">IF(SUM(D25:D36)=0,"",SUM(D25:D36))</f>
        <v/>
      </c>
      <c r="E37" s="79" t="str">
        <f t="shared" ref="E37" si="7">IF(SUM(E25:E36)=0,"",SUM(E25:E36))</f>
        <v/>
      </c>
      <c r="G37" s="12" t="s">
        <v>334</v>
      </c>
      <c r="H37" s="79">
        <f>IF(SUM(H25:H36)=0,"",SUM(H25:H36))</f>
        <v>1710</v>
      </c>
      <c r="J37" s="79">
        <f>IF(SUM(J25:J36)=0,"",SUM(J25:J36))</f>
        <v>35758</v>
      </c>
    </row>
    <row r="38" spans="1:12" ht="18.75" thickBot="1">
      <c r="B38" s="12" t="s">
        <v>428</v>
      </c>
      <c r="C38" s="79">
        <f>IFERROR(AVERAGE(C25:C36),"")</f>
        <v>179.9</v>
      </c>
      <c r="D38" s="79" t="str">
        <f t="shared" ref="D38:E38" si="8">IFERROR(AVERAGE(D25:D36),"")</f>
        <v/>
      </c>
      <c r="E38" s="79" t="str">
        <f t="shared" si="8"/>
        <v/>
      </c>
      <c r="G38" s="12" t="s">
        <v>428</v>
      </c>
      <c r="H38" s="79">
        <f>IFERROR(AVERAGE(H25:H36),"")</f>
        <v>142.5</v>
      </c>
      <c r="J38" s="79">
        <f>IFERROR(AVERAGE(J25:J36),"")</f>
        <v>2979.8333333333335</v>
      </c>
    </row>
    <row r="45" spans="1:12" ht="17.25" thickBot="1">
      <c r="A45" s="1933">
        <v>2024</v>
      </c>
    </row>
    <row r="46" spans="1:12" ht="21.75" thickBot="1">
      <c r="A46" s="1933"/>
      <c r="B46" s="1977" t="s">
        <v>418</v>
      </c>
      <c r="C46" s="1978"/>
      <c r="D46" s="1978"/>
      <c r="E46" s="1978"/>
      <c r="F46" s="1978"/>
      <c r="G46" s="1978"/>
      <c r="H46" s="1978"/>
      <c r="I46" s="1978"/>
      <c r="J46" s="1979"/>
      <c r="K46" s="43"/>
      <c r="L46" s="43"/>
    </row>
    <row r="47" spans="1:12" ht="18.75" thickBot="1">
      <c r="B47" s="63" t="s">
        <v>121</v>
      </c>
      <c r="C47" s="63" t="s">
        <v>419</v>
      </c>
      <c r="D47" s="63" t="s">
        <v>420</v>
      </c>
      <c r="E47" s="63" t="s">
        <v>421</v>
      </c>
      <c r="F47" s="63" t="s">
        <v>422</v>
      </c>
      <c r="G47" s="63" t="s">
        <v>423</v>
      </c>
      <c r="H47" s="63" t="s">
        <v>424</v>
      </c>
      <c r="I47" s="63" t="s">
        <v>425</v>
      </c>
      <c r="J47" s="63" t="s">
        <v>422</v>
      </c>
      <c r="K47" s="44"/>
      <c r="L47" s="44"/>
    </row>
    <row r="48" spans="1:12" ht="18">
      <c r="B48" s="9" t="s">
        <v>278</v>
      </c>
      <c r="C48" s="28"/>
      <c r="D48" s="28"/>
      <c r="E48" s="28"/>
      <c r="F48" s="48" t="str">
        <f>IF(SUM(C48:E48)=0,"",SUM(C48:E48))</f>
        <v/>
      </c>
      <c r="G48" s="28"/>
      <c r="H48" s="28"/>
      <c r="I48" s="28">
        <f>Water!W71</f>
        <v>2701</v>
      </c>
      <c r="J48" s="48">
        <f>IF(SUM(G48:I48)=0,"",SUM(G48:I48))</f>
        <v>2701</v>
      </c>
    </row>
    <row r="49" spans="2:12" ht="18">
      <c r="B49" s="10" t="s">
        <v>279</v>
      </c>
      <c r="C49" s="34"/>
      <c r="D49" s="34"/>
      <c r="E49" s="34"/>
      <c r="F49" s="51" t="str">
        <f t="shared" ref="F49:F59" si="9">IF(SUM(C49:E49)=0,"",SUM(C49:E49))</f>
        <v/>
      </c>
      <c r="G49" s="34"/>
      <c r="H49" s="34"/>
      <c r="I49" s="34">
        <f>Water!W72</f>
        <v>0</v>
      </c>
      <c r="J49" s="51" t="str">
        <f t="shared" ref="J49:J59" si="10">IF(SUM(G49:I49)=0,"",SUM(G49:I49))</f>
        <v/>
      </c>
    </row>
    <row r="50" spans="2:12" ht="18">
      <c r="B50" s="10" t="s">
        <v>280</v>
      </c>
      <c r="C50" s="34"/>
      <c r="D50" s="34"/>
      <c r="E50" s="34"/>
      <c r="F50" s="51" t="str">
        <f t="shared" si="9"/>
        <v/>
      </c>
      <c r="G50" s="34"/>
      <c r="H50" s="34"/>
      <c r="I50" s="34">
        <f>Water!W73</f>
        <v>0</v>
      </c>
      <c r="J50" s="51" t="str">
        <f t="shared" si="10"/>
        <v/>
      </c>
    </row>
    <row r="51" spans="2:12" ht="18">
      <c r="B51" s="10" t="s">
        <v>281</v>
      </c>
      <c r="C51" s="34"/>
      <c r="D51" s="34"/>
      <c r="E51" s="34"/>
      <c r="F51" s="51" t="str">
        <f t="shared" si="9"/>
        <v/>
      </c>
      <c r="G51" s="34"/>
      <c r="H51" s="34"/>
      <c r="I51" s="34">
        <f>Water!W74</f>
        <v>0</v>
      </c>
      <c r="J51" s="51" t="str">
        <f t="shared" si="10"/>
        <v/>
      </c>
    </row>
    <row r="52" spans="2:12" ht="18">
      <c r="B52" s="10" t="s">
        <v>132</v>
      </c>
      <c r="C52" s="34"/>
      <c r="D52" s="34"/>
      <c r="E52" s="34"/>
      <c r="F52" s="51" t="str">
        <f t="shared" si="9"/>
        <v/>
      </c>
      <c r="G52" s="34"/>
      <c r="H52" s="34"/>
      <c r="I52" s="34">
        <f>Water!W75</f>
        <v>0</v>
      </c>
      <c r="J52" s="51" t="str">
        <f t="shared" si="10"/>
        <v/>
      </c>
      <c r="L52" s="449" t="e">
        <f>181/I52</f>
        <v>#DIV/0!</v>
      </c>
    </row>
    <row r="53" spans="2:12" ht="18">
      <c r="B53" s="10" t="s">
        <v>282</v>
      </c>
      <c r="C53" s="34"/>
      <c r="D53" s="34"/>
      <c r="E53" s="34"/>
      <c r="F53" s="51" t="str">
        <f t="shared" si="9"/>
        <v/>
      </c>
      <c r="G53" s="34"/>
      <c r="H53" s="34"/>
      <c r="I53" s="34">
        <f>Water!W76</f>
        <v>0</v>
      </c>
      <c r="J53" s="51" t="str">
        <f t="shared" si="10"/>
        <v/>
      </c>
      <c r="L53" s="449" t="e">
        <f>H71/I53</f>
        <v>#DIV/0!</v>
      </c>
    </row>
    <row r="54" spans="2:12" ht="18">
      <c r="B54" s="10" t="s">
        <v>283</v>
      </c>
      <c r="C54" s="34"/>
      <c r="D54" s="34"/>
      <c r="E54" s="34"/>
      <c r="F54" s="51" t="str">
        <f t="shared" si="9"/>
        <v/>
      </c>
      <c r="G54" s="34"/>
      <c r="H54" s="34"/>
      <c r="I54" s="34">
        <f>Water!W77</f>
        <v>0</v>
      </c>
      <c r="J54" s="51" t="str">
        <f t="shared" si="10"/>
        <v/>
      </c>
    </row>
    <row r="55" spans="2:12" ht="18">
      <c r="B55" s="10" t="s">
        <v>284</v>
      </c>
      <c r="C55" s="34"/>
      <c r="D55" s="34"/>
      <c r="E55" s="34"/>
      <c r="F55" s="51" t="str">
        <f t="shared" si="9"/>
        <v/>
      </c>
      <c r="G55" s="34"/>
      <c r="H55" s="34"/>
      <c r="I55" s="34">
        <f>Water!W78</f>
        <v>0</v>
      </c>
      <c r="J55" s="51" t="str">
        <f t="shared" si="10"/>
        <v/>
      </c>
    </row>
    <row r="56" spans="2:12" ht="18">
      <c r="B56" s="10" t="s">
        <v>285</v>
      </c>
      <c r="C56" s="34"/>
      <c r="D56" s="34"/>
      <c r="E56" s="34"/>
      <c r="F56" s="51" t="str">
        <f t="shared" si="9"/>
        <v/>
      </c>
      <c r="G56" s="34"/>
      <c r="H56" s="34"/>
      <c r="I56" s="34">
        <f>Water!W79</f>
        <v>0</v>
      </c>
      <c r="J56" s="51" t="str">
        <f t="shared" si="10"/>
        <v/>
      </c>
    </row>
    <row r="57" spans="2:12" ht="18">
      <c r="B57" s="10" t="s">
        <v>286</v>
      </c>
      <c r="C57" s="34"/>
      <c r="D57" s="34"/>
      <c r="E57" s="34"/>
      <c r="F57" s="51" t="str">
        <f t="shared" si="9"/>
        <v/>
      </c>
      <c r="G57" s="34"/>
      <c r="H57" s="34"/>
      <c r="I57" s="34">
        <f>Water!W80</f>
        <v>0</v>
      </c>
      <c r="J57" s="51" t="str">
        <f t="shared" si="10"/>
        <v/>
      </c>
    </row>
    <row r="58" spans="2:12" ht="18">
      <c r="B58" s="10" t="s">
        <v>287</v>
      </c>
      <c r="C58" s="34"/>
      <c r="D58" s="34"/>
      <c r="E58" s="34"/>
      <c r="F58" s="51" t="str">
        <f t="shared" si="9"/>
        <v/>
      </c>
      <c r="G58" s="34"/>
      <c r="H58" s="34"/>
      <c r="I58" s="34">
        <f>Water!W81</f>
        <v>0</v>
      </c>
      <c r="J58" s="51" t="str">
        <f t="shared" si="10"/>
        <v/>
      </c>
    </row>
    <row r="59" spans="2:12" ht="18.75" thickBot="1">
      <c r="B59" s="11" t="s">
        <v>288</v>
      </c>
      <c r="C59" s="59"/>
      <c r="D59" s="59"/>
      <c r="E59" s="59"/>
      <c r="F59" s="60" t="str">
        <f t="shared" si="9"/>
        <v/>
      </c>
      <c r="G59" s="59"/>
      <c r="H59" s="59"/>
      <c r="I59" s="59">
        <f>Water!W82</f>
        <v>0</v>
      </c>
      <c r="J59" s="60" t="str">
        <f t="shared" si="10"/>
        <v/>
      </c>
      <c r="L59" s="41" t="s">
        <v>426</v>
      </c>
    </row>
    <row r="60" spans="2:12" ht="18.75" thickBot="1">
      <c r="B60" s="12" t="s">
        <v>334</v>
      </c>
      <c r="C60" s="57" t="str">
        <f>IF(SUM(C48:C59)=0,"",SUM(C48:C59))</f>
        <v/>
      </c>
      <c r="D60" s="57" t="str">
        <f t="shared" ref="D60:J60" si="11">IF(SUM(D48:D59)=0,"",SUM(D48:D59))</f>
        <v/>
      </c>
      <c r="E60" s="57" t="str">
        <f t="shared" si="11"/>
        <v/>
      </c>
      <c r="F60" s="57" t="str">
        <f t="shared" si="11"/>
        <v/>
      </c>
      <c r="G60" s="57" t="str">
        <f t="shared" si="11"/>
        <v/>
      </c>
      <c r="H60" s="57" t="str">
        <f t="shared" si="11"/>
        <v/>
      </c>
      <c r="I60" s="57">
        <f t="shared" si="11"/>
        <v>2701</v>
      </c>
      <c r="J60" s="57">
        <f t="shared" si="11"/>
        <v>2701</v>
      </c>
      <c r="L60" s="41" t="s">
        <v>427</v>
      </c>
    </row>
    <row r="61" spans="2:12" ht="18.75" thickBot="1">
      <c r="B61" s="12" t="s">
        <v>428</v>
      </c>
      <c r="C61" s="57" t="str">
        <f>IFERROR(AVERAGE(C48:C59),"")</f>
        <v/>
      </c>
      <c r="D61" s="57" t="str">
        <f t="shared" ref="D61:J61" si="12">IFERROR(AVERAGE(D48:D59),"")</f>
        <v/>
      </c>
      <c r="E61" s="57" t="str">
        <f t="shared" si="12"/>
        <v/>
      </c>
      <c r="F61" s="57" t="str">
        <f t="shared" si="12"/>
        <v/>
      </c>
      <c r="G61" s="57" t="str">
        <f t="shared" si="12"/>
        <v/>
      </c>
      <c r="H61" s="57" t="str">
        <f t="shared" si="12"/>
        <v/>
      </c>
      <c r="I61" s="57">
        <f t="shared" si="12"/>
        <v>225.08333333333334</v>
      </c>
      <c r="J61" s="57">
        <f t="shared" si="12"/>
        <v>2701</v>
      </c>
      <c r="L61" s="41" t="s">
        <v>429</v>
      </c>
    </row>
    <row r="62" spans="2:12">
      <c r="C62" s="1981" t="s">
        <v>430</v>
      </c>
      <c r="D62" s="1981"/>
      <c r="E62" s="1981"/>
      <c r="F62" s="1981"/>
    </row>
    <row r="63" spans="2:12" ht="17.25" thickBot="1"/>
    <row r="64" spans="2:12" ht="21.75" thickBot="1">
      <c r="B64" s="1980" t="s">
        <v>431</v>
      </c>
      <c r="C64" s="1980"/>
      <c r="D64" s="1980"/>
      <c r="E64" s="1980"/>
      <c r="G64" s="1934" t="s">
        <v>432</v>
      </c>
      <c r="H64" s="1936"/>
      <c r="J64" s="1982" t="s">
        <v>433</v>
      </c>
    </row>
    <row r="65" spans="2:12" ht="18.75" thickBot="1">
      <c r="B65" s="19" t="s">
        <v>121</v>
      </c>
      <c r="C65" s="19" t="s">
        <v>271</v>
      </c>
      <c r="D65" s="19" t="s">
        <v>434</v>
      </c>
      <c r="E65" s="19" t="s">
        <v>435</v>
      </c>
      <c r="F65" s="86"/>
      <c r="G65" s="19" t="s">
        <v>121</v>
      </c>
      <c r="H65" s="19" t="s">
        <v>436</v>
      </c>
      <c r="I65" s="6"/>
      <c r="J65" s="1983"/>
      <c r="L65" s="6"/>
    </row>
    <row r="66" spans="2:12" ht="18">
      <c r="B66" s="9" t="s">
        <v>278</v>
      </c>
      <c r="C66" s="22">
        <f>'Recycle Water'!K5</f>
        <v>213.2</v>
      </c>
      <c r="D66" s="22"/>
      <c r="E66" s="22"/>
      <c r="G66" s="9" t="s">
        <v>278</v>
      </c>
      <c r="H66" s="22">
        <f>'Rain water Collection'!K6</f>
        <v>0</v>
      </c>
      <c r="J66" s="22">
        <f>IFERROR(J48+H66,"")</f>
        <v>2701</v>
      </c>
    </row>
    <row r="67" spans="2:12" ht="18">
      <c r="B67" s="10" t="s">
        <v>279</v>
      </c>
      <c r="C67" s="23">
        <f>'Recycle Water'!K6</f>
        <v>0</v>
      </c>
      <c r="D67" s="23"/>
      <c r="E67" s="23"/>
      <c r="G67" s="10" t="s">
        <v>279</v>
      </c>
      <c r="H67" s="23">
        <f>'Rain water Collection'!K7</f>
        <v>0</v>
      </c>
      <c r="J67" s="23" t="str">
        <f t="shared" ref="J67:J78" si="13">IFERROR(J49+H67,"")</f>
        <v/>
      </c>
    </row>
    <row r="68" spans="2:12" ht="18">
      <c r="B68" s="10" t="s">
        <v>280</v>
      </c>
      <c r="C68" s="23">
        <f>'Recycle Water'!K7</f>
        <v>0</v>
      </c>
      <c r="D68" s="23"/>
      <c r="E68" s="23"/>
      <c r="G68" s="10" t="s">
        <v>280</v>
      </c>
      <c r="H68" s="23">
        <f>'Rain water Collection'!K8</f>
        <v>0</v>
      </c>
      <c r="J68" s="23" t="str">
        <f t="shared" si="13"/>
        <v/>
      </c>
    </row>
    <row r="69" spans="2:12" ht="18">
      <c r="B69" s="10" t="s">
        <v>281</v>
      </c>
      <c r="C69" s="23">
        <f>'Recycle Water'!K8</f>
        <v>0</v>
      </c>
      <c r="D69" s="23"/>
      <c r="E69" s="23"/>
      <c r="G69" s="10" t="s">
        <v>281</v>
      </c>
      <c r="H69" s="23">
        <f>'Rain water Collection'!K9</f>
        <v>0</v>
      </c>
      <c r="J69" s="23" t="str">
        <f t="shared" si="13"/>
        <v/>
      </c>
    </row>
    <row r="70" spans="2:12" ht="18">
      <c r="B70" s="10" t="s">
        <v>132</v>
      </c>
      <c r="C70" s="23">
        <f>'Recycle Water'!K9</f>
        <v>0</v>
      </c>
      <c r="D70" s="23"/>
      <c r="E70" s="23"/>
      <c r="G70" s="10" t="s">
        <v>132</v>
      </c>
      <c r="H70" s="23">
        <f>'Rain water Collection'!K10</f>
        <v>0</v>
      </c>
      <c r="J70" s="23" t="str">
        <f t="shared" si="13"/>
        <v/>
      </c>
      <c r="L70" s="449">
        <f t="shared" ref="L70:L72" si="14">IFERROR(H70/J70,0)</f>
        <v>0</v>
      </c>
    </row>
    <row r="71" spans="2:12" ht="18">
      <c r="B71" s="10" t="s">
        <v>282</v>
      </c>
      <c r="C71" s="23">
        <f>'Recycle Water'!K10</f>
        <v>0</v>
      </c>
      <c r="D71" s="23"/>
      <c r="E71" s="23"/>
      <c r="G71" s="10" t="s">
        <v>282</v>
      </c>
      <c r="H71" s="23">
        <f>'Rain water Collection'!K11</f>
        <v>0</v>
      </c>
      <c r="J71" s="23" t="str">
        <f t="shared" si="13"/>
        <v/>
      </c>
      <c r="L71" s="449">
        <f t="shared" si="14"/>
        <v>0</v>
      </c>
    </row>
    <row r="72" spans="2:12" ht="18">
      <c r="B72" s="10" t="s">
        <v>283</v>
      </c>
      <c r="C72" s="23">
        <f>'Recycle Water'!K11</f>
        <v>0</v>
      </c>
      <c r="D72" s="23"/>
      <c r="E72" s="23"/>
      <c r="G72" s="10" t="s">
        <v>283</v>
      </c>
      <c r="H72" s="23">
        <f>'Rain water Collection'!K12</f>
        <v>0</v>
      </c>
      <c r="J72" s="23" t="str">
        <f t="shared" si="13"/>
        <v/>
      </c>
      <c r="L72" s="449">
        <f t="shared" si="14"/>
        <v>0</v>
      </c>
    </row>
    <row r="73" spans="2:12" ht="18">
      <c r="B73" s="10" t="s">
        <v>284</v>
      </c>
      <c r="C73" s="23">
        <f>'Recycle Water'!K12</f>
        <v>0</v>
      </c>
      <c r="D73" s="23"/>
      <c r="E73" s="23"/>
      <c r="G73" s="10" t="s">
        <v>284</v>
      </c>
      <c r="H73" s="23">
        <f>'Rain water Collection'!K13</f>
        <v>0</v>
      </c>
      <c r="J73" s="23" t="str">
        <f t="shared" si="13"/>
        <v/>
      </c>
      <c r="L73" s="449">
        <f>IFERROR(H73/J73,0)</f>
        <v>0</v>
      </c>
    </row>
    <row r="74" spans="2:12" ht="18">
      <c r="B74" s="10" t="s">
        <v>285</v>
      </c>
      <c r="C74" s="23">
        <f>'Recycle Water'!K13</f>
        <v>0</v>
      </c>
      <c r="D74" s="23"/>
      <c r="E74" s="23"/>
      <c r="G74" s="10" t="s">
        <v>285</v>
      </c>
      <c r="H74" s="23">
        <f>'Rain water Collection'!K14</f>
        <v>0</v>
      </c>
      <c r="J74" s="23" t="str">
        <f t="shared" si="13"/>
        <v/>
      </c>
      <c r="L74" s="449">
        <f t="shared" ref="L74:L76" si="15">IFERROR(H74/J74,0)</f>
        <v>0</v>
      </c>
    </row>
    <row r="75" spans="2:12" ht="18">
      <c r="B75" s="10" t="s">
        <v>286</v>
      </c>
      <c r="C75" s="23">
        <f>'Recycle Water'!K14</f>
        <v>0</v>
      </c>
      <c r="D75" s="23"/>
      <c r="E75" s="23"/>
      <c r="G75" s="10" t="s">
        <v>286</v>
      </c>
      <c r="H75" s="23">
        <f>'Rain water Collection'!K15</f>
        <v>0</v>
      </c>
      <c r="J75" s="23" t="str">
        <f t="shared" si="13"/>
        <v/>
      </c>
      <c r="L75" s="449">
        <f t="shared" si="15"/>
        <v>0</v>
      </c>
    </row>
    <row r="76" spans="2:12" ht="18">
      <c r="B76" s="10" t="s">
        <v>287</v>
      </c>
      <c r="C76" s="23">
        <f>'Recycle Water'!K15</f>
        <v>0</v>
      </c>
      <c r="D76" s="23"/>
      <c r="E76" s="23"/>
      <c r="G76" s="10" t="s">
        <v>287</v>
      </c>
      <c r="H76" s="23">
        <f>'Rain water Collection'!K16</f>
        <v>0</v>
      </c>
      <c r="J76" s="23" t="str">
        <f t="shared" si="13"/>
        <v/>
      </c>
      <c r="L76" s="449">
        <f t="shared" si="15"/>
        <v>0</v>
      </c>
    </row>
    <row r="77" spans="2:12" ht="18.75" thickBot="1">
      <c r="B77" s="11" t="s">
        <v>288</v>
      </c>
      <c r="C77" s="24">
        <f>'Recycle Water'!K16</f>
        <v>0</v>
      </c>
      <c r="D77" s="24"/>
      <c r="E77" s="24"/>
      <c r="G77" s="11" t="s">
        <v>288</v>
      </c>
      <c r="H77" s="24">
        <f>'Rain water Collection'!K17</f>
        <v>0</v>
      </c>
      <c r="J77" s="23" t="str">
        <f t="shared" si="13"/>
        <v/>
      </c>
      <c r="L77" s="449"/>
    </row>
    <row r="78" spans="2:12" ht="18.75" thickBot="1">
      <c r="B78" s="12" t="s">
        <v>334</v>
      </c>
      <c r="C78" s="79">
        <f>IF(SUM(C66:C77)=0,"",SUM(C66:C77))</f>
        <v>213.2</v>
      </c>
      <c r="D78" s="79" t="str">
        <f t="shared" ref="D78:E78" si="16">IF(SUM(D66:D77)=0,"",SUM(D66:D77))</f>
        <v/>
      </c>
      <c r="E78" s="79" t="str">
        <f t="shared" si="16"/>
        <v/>
      </c>
      <c r="G78" s="12" t="s">
        <v>334</v>
      </c>
      <c r="H78" s="79" t="str">
        <f>IF(SUM(H66:H77)=0,"",SUM(H66:H77))</f>
        <v/>
      </c>
      <c r="J78" s="23" t="str">
        <f t="shared" si="13"/>
        <v/>
      </c>
    </row>
    <row r="79" spans="2:12" ht="18.75" thickBot="1">
      <c r="B79" s="12" t="s">
        <v>428</v>
      </c>
      <c r="C79" s="79">
        <f>IFERROR(AVERAGE(C66:C77),"")</f>
        <v>17.766666666666666</v>
      </c>
      <c r="D79" s="79" t="str">
        <f t="shared" ref="D79:E79" si="17">IFERROR(AVERAGE(D66:D77),"")</f>
        <v/>
      </c>
      <c r="E79" s="79" t="str">
        <f t="shared" si="17"/>
        <v/>
      </c>
      <c r="G79" s="12" t="s">
        <v>428</v>
      </c>
      <c r="H79" s="79">
        <f>IFERROR(AVERAGE(H66:H77),"")</f>
        <v>0</v>
      </c>
      <c r="J79" s="79">
        <f>IFERROR(AVERAGE(J66:J77),"")</f>
        <v>2701</v>
      </c>
    </row>
  </sheetData>
  <mergeCells count="13">
    <mergeCell ref="A4:A5"/>
    <mergeCell ref="A45:A46"/>
    <mergeCell ref="B46:J46"/>
    <mergeCell ref="C62:F62"/>
    <mergeCell ref="B64:E64"/>
    <mergeCell ref="G64:H64"/>
    <mergeCell ref="J64:J65"/>
    <mergeCell ref="K25:L30"/>
    <mergeCell ref="B5:J5"/>
    <mergeCell ref="B23:E23"/>
    <mergeCell ref="G23:H23"/>
    <mergeCell ref="C21:F21"/>
    <mergeCell ref="J23:J24"/>
  </mergeCells>
  <pageMargins left="0.7" right="0.7" top="0.75" bottom="0.75" header="0.3" footer="0.3"/>
  <pageSetup orientation="portrait" horizontalDpi="4294967295" verticalDpi="4294967295"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B93A6-4CE5-448D-9F10-994863289932}">
  <dimension ref="A1:P45"/>
  <sheetViews>
    <sheetView showGridLines="0" zoomScale="85" zoomScaleNormal="85" workbookViewId="0">
      <pane xSplit="1" ySplit="3" topLeftCell="B4" activePane="bottomRight" state="frozen"/>
      <selection pane="topRight" activeCell="B1" sqref="B1"/>
      <selection pane="bottomLeft" activeCell="A4" sqref="A4"/>
      <selection pane="bottomRight"/>
    </sheetView>
  </sheetViews>
  <sheetFormatPr defaultColWidth="9.140625" defaultRowHeight="16.5"/>
  <cols>
    <col min="1" max="1" width="34.7109375" style="41" customWidth="1"/>
    <col min="2" max="2" width="7.85546875" style="41" bestFit="1" customWidth="1"/>
    <col min="3" max="3" width="25.28515625" style="41" bestFit="1" customWidth="1"/>
    <col min="4" max="4" width="15.5703125" style="41" customWidth="1"/>
    <col min="5" max="5" width="13.85546875" style="41" customWidth="1"/>
    <col min="6" max="6" width="14.5703125" style="41" bestFit="1" customWidth="1"/>
    <col min="7" max="7" width="31.140625" style="41" bestFit="1" customWidth="1"/>
    <col min="8" max="8" width="23.140625" style="41" bestFit="1" customWidth="1"/>
    <col min="9" max="9" width="22.85546875" style="41" customWidth="1"/>
    <col min="10" max="11" width="13.85546875" style="41" customWidth="1"/>
    <col min="12" max="12" width="11.42578125" style="41" customWidth="1"/>
    <col min="13" max="13" width="13.5703125" style="41" bestFit="1" customWidth="1"/>
    <col min="14" max="14" width="13.5703125" style="41" customWidth="1"/>
    <col min="15" max="15" width="14.5703125" style="41" customWidth="1"/>
    <col min="16" max="16" width="21.140625" style="41" bestFit="1" customWidth="1"/>
    <col min="17" max="16384" width="9.140625" style="41"/>
  </cols>
  <sheetData>
    <row r="1" spans="1:16" ht="39.75" customHeight="1"/>
    <row r="2" spans="1:16" ht="39.75" customHeight="1"/>
    <row r="3" spans="1:16" ht="111.75" customHeight="1"/>
    <row r="4" spans="1:16" ht="39.75" customHeight="1" thickBot="1">
      <c r="A4" s="2000">
        <v>2023</v>
      </c>
    </row>
    <row r="5" spans="1:16" ht="21.75" thickBot="1">
      <c r="A5" s="2000"/>
      <c r="B5" s="1934" t="s">
        <v>438</v>
      </c>
      <c r="C5" s="1935"/>
      <c r="D5" s="1935"/>
      <c r="E5" s="1935"/>
      <c r="F5" s="1935"/>
      <c r="G5" s="1935"/>
      <c r="H5" s="1935"/>
      <c r="I5" s="1935"/>
      <c r="J5" s="1935"/>
      <c r="K5" s="1935"/>
      <c r="L5" s="1935"/>
      <c r="M5" s="1935"/>
      <c r="N5" s="1935"/>
      <c r="O5" s="1935"/>
      <c r="P5" s="1936"/>
    </row>
    <row r="6" spans="1:16" s="43" customFormat="1" ht="19.5" thickBot="1">
      <c r="B6" s="1985" t="s">
        <v>121</v>
      </c>
      <c r="C6" s="1988" t="s">
        <v>439</v>
      </c>
      <c r="D6" s="1989"/>
      <c r="E6" s="1989"/>
      <c r="F6" s="1990"/>
      <c r="G6" s="42" t="s">
        <v>440</v>
      </c>
      <c r="H6" s="1988" t="s">
        <v>441</v>
      </c>
      <c r="I6" s="1989"/>
      <c r="J6" s="1989"/>
      <c r="K6" s="1989"/>
      <c r="L6" s="1989"/>
      <c r="M6" s="1989"/>
      <c r="N6" s="1989"/>
      <c r="O6" s="1990"/>
      <c r="P6" s="1991" t="s">
        <v>334</v>
      </c>
    </row>
    <row r="7" spans="1:16" s="44" customFormat="1" ht="36" customHeight="1" thickBot="1">
      <c r="B7" s="1986"/>
      <c r="C7" s="1994" t="s">
        <v>442</v>
      </c>
      <c r="D7" s="1995"/>
      <c r="E7" s="1995"/>
      <c r="F7" s="1996"/>
      <c r="G7" s="208" t="s">
        <v>443</v>
      </c>
      <c r="H7" s="2001" t="s">
        <v>444</v>
      </c>
      <c r="I7" s="2002"/>
      <c r="J7" s="2002"/>
      <c r="K7" s="2003"/>
      <c r="L7" s="2004"/>
      <c r="M7" s="2005" t="s">
        <v>445</v>
      </c>
      <c r="N7" s="2006"/>
      <c r="O7" s="1999" t="s">
        <v>334</v>
      </c>
      <c r="P7" s="1992"/>
    </row>
    <row r="8" spans="1:16" s="46" customFormat="1" ht="72.75" thickBot="1">
      <c r="A8" s="1685" t="s">
        <v>446</v>
      </c>
      <c r="B8" s="1987"/>
      <c r="C8" s="209" t="s">
        <v>447</v>
      </c>
      <c r="D8" s="69" t="s">
        <v>448</v>
      </c>
      <c r="E8" s="69" t="s">
        <v>449</v>
      </c>
      <c r="F8" s="210" t="s">
        <v>334</v>
      </c>
      <c r="G8" s="67" t="s">
        <v>450</v>
      </c>
      <c r="H8" s="69" t="s">
        <v>451</v>
      </c>
      <c r="I8" s="69" t="s">
        <v>452</v>
      </c>
      <c r="J8" s="69" t="s">
        <v>453</v>
      </c>
      <c r="K8" s="69" t="s">
        <v>454</v>
      </c>
      <c r="L8" s="69" t="s">
        <v>259</v>
      </c>
      <c r="M8" s="69" t="s">
        <v>455</v>
      </c>
      <c r="N8" s="69" t="s">
        <v>456</v>
      </c>
      <c r="O8" s="1998"/>
      <c r="P8" s="1992"/>
    </row>
    <row r="9" spans="1:16" ht="23.25">
      <c r="B9" s="9" t="s">
        <v>278</v>
      </c>
      <c r="C9" s="25">
        <f>'Cat-1'!F7</f>
        <v>181958.36566439999</v>
      </c>
      <c r="D9" s="26">
        <f>'Cat-1'!K37</f>
        <v>21681.678139534968</v>
      </c>
      <c r="E9" s="27">
        <f>'Cat-1'!K22</f>
        <v>0</v>
      </c>
      <c r="F9" s="47">
        <f>IF(SUM(C9:E9)=0,"",SUM(C9:E9))</f>
        <v>203640.04380393494</v>
      </c>
      <c r="G9" s="28">
        <f>'Cat-2'!K6</f>
        <v>165303.9142</v>
      </c>
      <c r="H9" s="29">
        <f>'Cat-3'!R66</f>
        <v>4422.7291528799997</v>
      </c>
      <c r="I9" s="26">
        <f>'Cat-3'!R81</f>
        <v>4692.6791319372878</v>
      </c>
      <c r="J9" s="26">
        <f>'Cat-3'!M21</f>
        <v>3542.5283359999999</v>
      </c>
      <c r="K9" s="26">
        <f>'Cat-3'!I36</f>
        <v>72.966860800000006</v>
      </c>
      <c r="L9" s="26">
        <f>'Cat-3'!P51</f>
        <v>1549.4539950000001</v>
      </c>
      <c r="M9" s="26">
        <f>'Cat-4'!J6</f>
        <v>17208.137468220004</v>
      </c>
      <c r="N9" s="30">
        <f>'Cat-4'!Y21</f>
        <v>14707.023752320711</v>
      </c>
      <c r="O9" s="48">
        <f>IF(SUM(H9:N9)=0,"",SUM(H9:N9))</f>
        <v>46195.518697157997</v>
      </c>
      <c r="P9" s="49">
        <f>IF(SUM(F9,G9,O9)=0,"",SUM(F9,G9,O9))</f>
        <v>415139.47670109291</v>
      </c>
    </row>
    <row r="10" spans="1:16" ht="23.25">
      <c r="B10" s="10" t="s">
        <v>279</v>
      </c>
      <c r="C10" s="31">
        <f>'Cat-1'!F8</f>
        <v>176547.1449014</v>
      </c>
      <c r="D10" s="32">
        <f>'Cat-1'!K38</f>
        <v>21681.678139534968</v>
      </c>
      <c r="E10" s="33">
        <f>'Cat-1'!K23</f>
        <v>0</v>
      </c>
      <c r="F10" s="50">
        <f t="shared" ref="F10:F20" si="0">IF(SUM(C10:E10)=0,"",SUM(C10:E10))</f>
        <v>198228.82304093498</v>
      </c>
      <c r="G10" s="34">
        <f>'Cat-2'!K7</f>
        <v>149777.85680000004</v>
      </c>
      <c r="H10" s="35">
        <f>'Cat-3'!R67</f>
        <v>6978.6750052799998</v>
      </c>
      <c r="I10" s="32">
        <f>'Cat-3'!R82</f>
        <v>3202.6213143234863</v>
      </c>
      <c r="J10" s="32">
        <f>'Cat-3'!M22</f>
        <v>3240.4725139999996</v>
      </c>
      <c r="K10" s="32">
        <f>'Cat-3'!I37</f>
        <v>67.92128000000001</v>
      </c>
      <c r="L10" s="32">
        <f>'Cat-3'!P52</f>
        <v>1206.5005799999999</v>
      </c>
      <c r="M10" s="32">
        <f>'Cat-4'!J7</f>
        <v>15591.874892880001</v>
      </c>
      <c r="N10" s="36">
        <f>'Cat-4'!Y22</f>
        <v>15106.604261108176</v>
      </c>
      <c r="O10" s="51">
        <f t="shared" ref="O10:O20" si="1">IF(SUM(H10:N10)=0,"",SUM(H10:N10))</f>
        <v>45394.669847591664</v>
      </c>
      <c r="P10" s="52">
        <f t="shared" ref="P10:P21" si="2">IF(SUM(F10,G10,O10)=0,"",SUM(F10,G10,O10))</f>
        <v>393401.34968852671</v>
      </c>
    </row>
    <row r="11" spans="1:16" ht="23.25">
      <c r="B11" s="10" t="s">
        <v>280</v>
      </c>
      <c r="C11" s="31">
        <f>'Cat-1'!F9</f>
        <v>176494.65815539999</v>
      </c>
      <c r="D11" s="32">
        <f>'Cat-1'!K39</f>
        <v>21681.678139534968</v>
      </c>
      <c r="E11" s="33">
        <f>'Cat-1'!K24</f>
        <v>0</v>
      </c>
      <c r="F11" s="50">
        <f t="shared" si="0"/>
        <v>198176.33629493497</v>
      </c>
      <c r="G11" s="34">
        <f>'Cat-2'!K8</f>
        <v>173043.2316</v>
      </c>
      <c r="H11" s="35">
        <f>'Cat-3'!R68</f>
        <v>14219.752158719999</v>
      </c>
      <c r="I11" s="32">
        <f>'Cat-3'!R83</f>
        <v>407.17313596158334</v>
      </c>
      <c r="J11" s="32">
        <f>'Cat-3'!M23</f>
        <v>3485.8205379999999</v>
      </c>
      <c r="K11" s="32">
        <f>'Cat-3'!I38</f>
        <v>64.816307199999997</v>
      </c>
      <c r="L11" s="32">
        <f>'Cat-3'!P53</f>
        <v>502.28154000000001</v>
      </c>
      <c r="M11" s="32">
        <f>'Cat-4'!J8</f>
        <v>18013.800409560001</v>
      </c>
      <c r="N11" s="36">
        <f>'Cat-4'!Y23</f>
        <v>14695.431361735933</v>
      </c>
      <c r="O11" s="51">
        <f t="shared" si="1"/>
        <v>51389.075451177516</v>
      </c>
      <c r="P11" s="52">
        <f t="shared" si="2"/>
        <v>422608.64334611245</v>
      </c>
    </row>
    <row r="12" spans="1:16" ht="23.25">
      <c r="B12" s="10" t="s">
        <v>281</v>
      </c>
      <c r="C12" s="31">
        <f>'Cat-1'!F10</f>
        <v>161169.58619579999</v>
      </c>
      <c r="D12" s="32">
        <f>'Cat-1'!K40</f>
        <v>13082.579104477612</v>
      </c>
      <c r="E12" s="33">
        <f>'Cat-1'!K25</f>
        <v>0</v>
      </c>
      <c r="F12" s="50">
        <f t="shared" si="0"/>
        <v>174252.16530027759</v>
      </c>
      <c r="G12" s="34">
        <f>'Cat-2'!K9</f>
        <v>163892.6128</v>
      </c>
      <c r="H12" s="35">
        <f>'Cat-3'!R69</f>
        <v>8542.1399904000009</v>
      </c>
      <c r="I12" s="32">
        <f>'Cat-3'!R84</f>
        <v>6674.0468470642709</v>
      </c>
      <c r="J12" s="32">
        <f>'Cat-3'!M24</f>
        <v>3804.5630400000005</v>
      </c>
      <c r="K12" s="32">
        <f>'Cat-3'!I39</f>
        <v>53.172659200000005</v>
      </c>
      <c r="L12" s="32">
        <f>'Cat-3'!P54</f>
        <v>520.55495999999994</v>
      </c>
      <c r="M12" s="32">
        <f>'Cat-4'!J9</f>
        <v>17061.220992480001</v>
      </c>
      <c r="N12" s="36">
        <f>'Cat-4'!Y24</f>
        <v>17965.182004873684</v>
      </c>
      <c r="O12" s="51">
        <f t="shared" si="1"/>
        <v>54620.880494017962</v>
      </c>
      <c r="P12" s="52">
        <f t="shared" si="2"/>
        <v>392765.65859429556</v>
      </c>
    </row>
    <row r="13" spans="1:16" ht="23.25">
      <c r="B13" s="10" t="s">
        <v>132</v>
      </c>
      <c r="C13" s="31">
        <f>'Cat-1'!F11</f>
        <v>174186.2585164</v>
      </c>
      <c r="D13" s="32">
        <f>'Cat-1'!K41</f>
        <v>13082.579104477612</v>
      </c>
      <c r="E13" s="33">
        <f>'Cat-1'!K26</f>
        <v>47872</v>
      </c>
      <c r="F13" s="50">
        <f t="shared" si="0"/>
        <v>235140.8376208776</v>
      </c>
      <c r="G13" s="34">
        <f>'Cat-2'!K10</f>
        <v>220432.00999999998</v>
      </c>
      <c r="H13" s="35">
        <f>'Cat-3'!R70</f>
        <v>13496.13420912</v>
      </c>
      <c r="I13" s="32">
        <f>'Cat-3'!R85</f>
        <v>4313.8384838604634</v>
      </c>
      <c r="J13" s="32">
        <f>'Cat-3'!M25</f>
        <v>4008.7864720000007</v>
      </c>
      <c r="K13" s="32">
        <f>'Cat-3'!I40</f>
        <v>62.487577600000009</v>
      </c>
      <c r="L13" s="32">
        <f>'Cat-3'!P55</f>
        <v>137.12616</v>
      </c>
      <c r="M13" s="32">
        <f>'Cat-4'!J10</f>
        <v>22946.972240999996</v>
      </c>
      <c r="N13" s="36">
        <f>'Cat-4'!Y25</f>
        <v>16730.268254696093</v>
      </c>
      <c r="O13" s="51">
        <f t="shared" si="1"/>
        <v>61695.613398276553</v>
      </c>
      <c r="P13" s="52">
        <f t="shared" si="2"/>
        <v>517268.46101915411</v>
      </c>
    </row>
    <row r="14" spans="1:16" ht="23.25">
      <c r="B14" s="10" t="s">
        <v>282</v>
      </c>
      <c r="C14" s="31">
        <f>'Cat-1'!F12</f>
        <v>184906.26951290001</v>
      </c>
      <c r="D14" s="32">
        <f>'Cat-1'!K42</f>
        <v>13082.579104477612</v>
      </c>
      <c r="E14" s="33">
        <f>'Cat-1'!K27</f>
        <v>21741.200000000004</v>
      </c>
      <c r="F14" s="50">
        <f t="shared" si="0"/>
        <v>219730.04861737764</v>
      </c>
      <c r="G14" s="34">
        <f>'Cat-2'!K11</f>
        <v>197285.19840000005</v>
      </c>
      <c r="H14" s="35">
        <f>'Cat-3'!R71</f>
        <v>9675.1015747199999</v>
      </c>
      <c r="I14" s="32">
        <f>'Cat-3'!R86</f>
        <v>4764.8450819827931</v>
      </c>
      <c r="J14" s="32">
        <f>'Cat-3'!M26</f>
        <v>4423.2082440000004</v>
      </c>
      <c r="K14" s="32">
        <f>'Cat-3'!I41</f>
        <v>79.176806400000018</v>
      </c>
      <c r="L14" s="32">
        <f>'Cat-3'!P56</f>
        <v>0</v>
      </c>
      <c r="M14" s="32">
        <f>'Cat-4'!J11</f>
        <v>20537.389153440003</v>
      </c>
      <c r="N14" s="36">
        <f>'Cat-4'!Y26</f>
        <v>26253.320448987059</v>
      </c>
      <c r="O14" s="51">
        <f t="shared" si="1"/>
        <v>65733.041309529857</v>
      </c>
      <c r="P14" s="52">
        <f t="shared" si="2"/>
        <v>482748.28832690755</v>
      </c>
    </row>
    <row r="15" spans="1:16" ht="23.25">
      <c r="B15" s="10" t="s">
        <v>283</v>
      </c>
      <c r="C15" s="31">
        <f>'Cat-1'!F13</f>
        <v>184806.78881990002</v>
      </c>
      <c r="D15" s="32">
        <f>'Cat-1'!K43</f>
        <v>16977.982478066166</v>
      </c>
      <c r="E15" s="33">
        <f>'Cat-1'!K28</f>
        <v>0</v>
      </c>
      <c r="F15" s="50">
        <f t="shared" si="0"/>
        <v>201784.77129796619</v>
      </c>
      <c r="G15" s="34">
        <f>'Cat-2'!K12</f>
        <v>183607.24220000007</v>
      </c>
      <c r="H15" s="35">
        <f>'Cat-3'!R72</f>
        <v>8469.4315996799996</v>
      </c>
      <c r="I15" s="32">
        <f>'Cat-3'!R87</f>
        <v>3606.458818589876</v>
      </c>
      <c r="J15" s="32">
        <f>'Cat-3'!M27</f>
        <v>3913.4570839999997</v>
      </c>
      <c r="K15" s="32">
        <f>'Cat-3'!I42</f>
        <v>55.11326720000001</v>
      </c>
      <c r="L15" s="32">
        <f>'Cat-3'!P57</f>
        <v>0</v>
      </c>
      <c r="M15" s="32">
        <f>'Cat-4'!J12</f>
        <v>19113.513913020004</v>
      </c>
      <c r="N15" s="36">
        <f>'Cat-4'!Y27</f>
        <v>21685.698454737594</v>
      </c>
      <c r="O15" s="51">
        <f t="shared" si="1"/>
        <v>56843.673137227466</v>
      </c>
      <c r="P15" s="52">
        <f t="shared" si="2"/>
        <v>442235.68663519371</v>
      </c>
    </row>
    <row r="16" spans="1:16" ht="23.25">
      <c r="B16" s="10" t="s">
        <v>284</v>
      </c>
      <c r="C16" s="31">
        <f>'Cat-1'!F14</f>
        <v>176374.9761683</v>
      </c>
      <c r="D16" s="32">
        <f>'Cat-1'!K44</f>
        <v>18739.38718504291</v>
      </c>
      <c r="E16" s="33">
        <f>'Cat-1'!K29</f>
        <v>0</v>
      </c>
      <c r="F16" s="50">
        <f t="shared" si="0"/>
        <v>195114.36335334289</v>
      </c>
      <c r="G16" s="34">
        <f>'Cat-2'!K13</f>
        <v>187388.99020000003</v>
      </c>
      <c r="H16" s="35">
        <f>'Cat-3'!R73</f>
        <v>20306.384419679998</v>
      </c>
      <c r="I16" s="32">
        <f>'Cat-3'!R88</f>
        <v>1617.4647242290828</v>
      </c>
      <c r="J16" s="32">
        <f>'Cat-3'!M28</f>
        <v>4796.8283920000003</v>
      </c>
      <c r="K16" s="32">
        <f>'Cat-3'!I43</f>
        <v>67.92128000000001</v>
      </c>
      <c r="L16" s="32">
        <f>'Cat-3'!P58</f>
        <v>0</v>
      </c>
      <c r="M16" s="32">
        <f>'Cat-4'!J13</f>
        <v>19507.193879820003</v>
      </c>
      <c r="N16" s="36">
        <f>'Cat-4'!Y28</f>
        <v>26689.526758984812</v>
      </c>
      <c r="O16" s="51">
        <f t="shared" si="1"/>
        <v>72985.319454713885</v>
      </c>
      <c r="P16" s="52">
        <f t="shared" si="2"/>
        <v>455488.67300805682</v>
      </c>
    </row>
    <row r="17" spans="1:16" ht="23.25">
      <c r="B17" s="10" t="s">
        <v>285</v>
      </c>
      <c r="C17" s="31">
        <f>'Cat-1'!F15</f>
        <v>197004.7899651</v>
      </c>
      <c r="D17" s="32">
        <f>'Cat-1'!K45</f>
        <v>20077.350571089421</v>
      </c>
      <c r="E17" s="33">
        <f>'Cat-1'!K30</f>
        <v>23936</v>
      </c>
      <c r="F17" s="50">
        <f t="shared" si="0"/>
        <v>241018.14053618943</v>
      </c>
      <c r="G17" s="34">
        <f>'Cat-2'!K14</f>
        <v>183676.88199999998</v>
      </c>
      <c r="H17" s="35">
        <f>'Cat-3'!R74</f>
        <v>6103.2341030400003</v>
      </c>
      <c r="I17" s="32">
        <f>'Cat-3'!R89</f>
        <v>5133.3758714522683</v>
      </c>
      <c r="J17" s="32">
        <f>'Cat-3'!M29</f>
        <v>4670.1711080000005</v>
      </c>
      <c r="K17" s="32">
        <f>'Cat-3'!I44</f>
        <v>69.861888000000008</v>
      </c>
      <c r="L17" s="32">
        <f>'Cat-3'!P59</f>
        <v>276.66863999999998</v>
      </c>
      <c r="M17" s="32">
        <f>'Cat-4'!J14</f>
        <v>19120.763416199999</v>
      </c>
      <c r="N17" s="36">
        <f>'Cat-4'!Y29</f>
        <v>24129.040368988684</v>
      </c>
      <c r="O17" s="51">
        <f t="shared" si="1"/>
        <v>59503.115395680958</v>
      </c>
      <c r="P17" s="52">
        <f t="shared" si="2"/>
        <v>484198.13793187035</v>
      </c>
    </row>
    <row r="18" spans="1:16" ht="23.25">
      <c r="B18" s="10" t="s">
        <v>286</v>
      </c>
      <c r="C18" s="31">
        <f>'Cat-1'!F16</f>
        <v>194660.05647789998</v>
      </c>
      <c r="D18" s="32">
        <f>'Cat-1'!K46</f>
        <v>21156.401258671038</v>
      </c>
      <c r="E18" s="33">
        <f>'Cat-1'!K31</f>
        <v>0</v>
      </c>
      <c r="F18" s="50">
        <f t="shared" si="0"/>
        <v>215816.45773657103</v>
      </c>
      <c r="G18" s="34">
        <f>'Cat-2'!K15</f>
        <v>199887.8536</v>
      </c>
      <c r="H18" s="35">
        <f>'Cat-3'!R75</f>
        <v>3633.0738796799997</v>
      </c>
      <c r="I18" s="32">
        <f>'Cat-3'!R90</f>
        <v>3663.8798827109617</v>
      </c>
      <c r="J18" s="32">
        <f>'Cat-3'!M30</f>
        <v>5022.8252499999999</v>
      </c>
      <c r="K18" s="32">
        <f>'Cat-3'!I45</f>
        <v>76.45995520000001</v>
      </c>
      <c r="L18" s="32">
        <f>'Cat-3'!P60</f>
        <v>3419.6475599999999</v>
      </c>
      <c r="M18" s="32">
        <f>'Cat-4'!J15</f>
        <v>20808.32555976</v>
      </c>
      <c r="N18" s="36">
        <f>'Cat-4'!Y30</f>
        <v>26522.441999906867</v>
      </c>
      <c r="O18" s="51">
        <f t="shared" si="1"/>
        <v>63146.654087257833</v>
      </c>
      <c r="P18" s="52">
        <f t="shared" si="2"/>
        <v>478850.96542382881</v>
      </c>
    </row>
    <row r="19" spans="1:16" ht="23.25">
      <c r="B19" s="10" t="s">
        <v>287</v>
      </c>
      <c r="C19" s="31">
        <f>'Cat-1'!F17</f>
        <v>185375.86314</v>
      </c>
      <c r="D19" s="32">
        <f>'Cat-1'!K47</f>
        <v>19559.810085492791</v>
      </c>
      <c r="E19" s="33">
        <f>'Cat-1'!K32</f>
        <v>67418.400000000009</v>
      </c>
      <c r="F19" s="50">
        <f t="shared" si="0"/>
        <v>272354.07322549279</v>
      </c>
      <c r="G19" s="34">
        <f>'Cat-2'!K16</f>
        <v>190698.60260000004</v>
      </c>
      <c r="H19" s="35">
        <f>'Cat-3'!R76</f>
        <v>4477.3696425600001</v>
      </c>
      <c r="I19" s="32">
        <f>'Cat-3'!R91</f>
        <v>7730.7832399942818</v>
      </c>
      <c r="J19" s="32">
        <f>'Cat-3'!M31</f>
        <v>5379.9471160000003</v>
      </c>
      <c r="K19" s="32">
        <f>'Cat-3'!I46</f>
        <v>74.131225600000008</v>
      </c>
      <c r="L19" s="32">
        <f>'Cat-3'!P61</f>
        <v>1369.96875</v>
      </c>
      <c r="M19" s="32">
        <f>'Cat-4'!J16</f>
        <v>19851.724530660005</v>
      </c>
      <c r="N19" s="36">
        <f>'Cat-4'!Y31</f>
        <v>13417.147577754347</v>
      </c>
      <c r="O19" s="51">
        <f t="shared" si="1"/>
        <v>52301.072082568629</v>
      </c>
      <c r="P19" s="52">
        <f t="shared" si="2"/>
        <v>515353.74790806149</v>
      </c>
    </row>
    <row r="20" spans="1:16" ht="24" thickBot="1">
      <c r="B20" s="11" t="s">
        <v>288</v>
      </c>
      <c r="C20" s="37">
        <f>'Cat-1'!F18</f>
        <v>189131.31015999999</v>
      </c>
      <c r="D20" s="38">
        <f>'Cat-1'!K48</f>
        <v>19864.648427359323</v>
      </c>
      <c r="E20" s="39">
        <f>'Cat-1'!K33</f>
        <v>0</v>
      </c>
      <c r="F20" s="53">
        <f t="shared" si="0"/>
        <v>208995.95858735932</v>
      </c>
      <c r="G20" s="40">
        <f>'Cat-2'!K17</f>
        <v>150924.20000000001</v>
      </c>
      <c r="H20" s="35">
        <f>'Cat-3'!R77</f>
        <v>12312.916154064</v>
      </c>
      <c r="I20" s="32">
        <f>'Cat-3'!R92</f>
        <v>8201.3290920719992</v>
      </c>
      <c r="J20" s="32">
        <f>'Cat-3'!M32</f>
        <v>4233.1415760000009</v>
      </c>
      <c r="K20" s="38">
        <f>'Cat-3'!I47</f>
        <v>67.92128000000001</v>
      </c>
      <c r="L20" s="32">
        <f>'Cat-3'!P62</f>
        <v>659.8125</v>
      </c>
      <c r="M20" s="32">
        <f>'Cat-4'!J17</f>
        <v>15711.209219999999</v>
      </c>
      <c r="N20" s="36">
        <f>'Cat-4'!Y32</f>
        <v>27639.865938303061</v>
      </c>
      <c r="O20" s="54">
        <f t="shared" si="1"/>
        <v>68826.195760439063</v>
      </c>
      <c r="P20" s="55">
        <f t="shared" si="2"/>
        <v>428746.35434779839</v>
      </c>
    </row>
    <row r="21" spans="1:16" ht="24" thickBot="1">
      <c r="B21" s="12" t="s">
        <v>334</v>
      </c>
      <c r="C21" s="211">
        <f>IF(SUM(C9:C20)=0,"",SUM(C9:C20))</f>
        <v>2182616.0676775002</v>
      </c>
      <c r="D21" s="212">
        <f t="shared" ref="D21:O21" si="3">IF(SUM(D9:D20)=0,"",SUM(D9:D20))</f>
        <v>220668.3517377594</v>
      </c>
      <c r="E21" s="213">
        <f t="shared" si="3"/>
        <v>160967.60000000003</v>
      </c>
      <c r="F21" s="56">
        <f t="shared" si="3"/>
        <v>2564252.0194152594</v>
      </c>
      <c r="G21" s="57">
        <f t="shared" si="3"/>
        <v>2165918.5944000003</v>
      </c>
      <c r="H21" s="214">
        <f t="shared" si="3"/>
        <v>112636.94188982401</v>
      </c>
      <c r="I21" s="212">
        <f t="shared" si="3"/>
        <v>54008.495624178366</v>
      </c>
      <c r="J21" s="212">
        <f t="shared" si="3"/>
        <v>50521.749670000005</v>
      </c>
      <c r="K21" s="212"/>
      <c r="L21" s="212">
        <f t="shared" si="3"/>
        <v>9642.0146850000001</v>
      </c>
      <c r="M21" s="212">
        <f t="shared" si="3"/>
        <v>225472.12567703999</v>
      </c>
      <c r="N21" s="215">
        <f t="shared" si="3"/>
        <v>245541.551182397</v>
      </c>
      <c r="O21" s="57">
        <f t="shared" si="3"/>
        <v>698634.82911563944</v>
      </c>
      <c r="P21" s="58">
        <f t="shared" si="2"/>
        <v>5428805.4429308986</v>
      </c>
    </row>
    <row r="26" spans="1:16" ht="26.25" customHeight="1">
      <c r="A26" s="1984">
        <v>2024</v>
      </c>
    </row>
    <row r="27" spans="1:16" ht="26.25" customHeight="1">
      <c r="A27" s="1984"/>
    </row>
    <row r="28" spans="1:16" ht="17.25" thickBot="1"/>
    <row r="29" spans="1:16" ht="21.75" thickBot="1">
      <c r="B29" s="1934" t="s">
        <v>438</v>
      </c>
      <c r="C29" s="1935"/>
      <c r="D29" s="1935"/>
      <c r="E29" s="1935"/>
      <c r="F29" s="1935"/>
      <c r="G29" s="1935"/>
      <c r="H29" s="1935"/>
      <c r="I29" s="1935"/>
      <c r="J29" s="1935"/>
      <c r="K29" s="1935"/>
      <c r="L29" s="1935"/>
      <c r="M29" s="1935"/>
      <c r="N29" s="1935"/>
      <c r="O29" s="1935"/>
      <c r="P29" s="1936"/>
    </row>
    <row r="30" spans="1:16" ht="19.5" customHeight="1" thickBot="1">
      <c r="B30" s="1985" t="s">
        <v>121</v>
      </c>
      <c r="C30" s="1988" t="s">
        <v>439</v>
      </c>
      <c r="D30" s="1989"/>
      <c r="E30" s="1989"/>
      <c r="F30" s="1990"/>
      <c r="G30" s="42" t="s">
        <v>440</v>
      </c>
      <c r="H30" s="1988" t="s">
        <v>441</v>
      </c>
      <c r="I30" s="1989"/>
      <c r="J30" s="1989"/>
      <c r="K30" s="1989"/>
      <c r="L30" s="1989"/>
      <c r="M30" s="1989"/>
      <c r="N30" s="1989"/>
      <c r="O30" s="1990"/>
      <c r="P30" s="1991" t="s">
        <v>334</v>
      </c>
    </row>
    <row r="31" spans="1:16" ht="36.75" customHeight="1" thickBot="1">
      <c r="B31" s="1986"/>
      <c r="C31" s="1994" t="s">
        <v>442</v>
      </c>
      <c r="D31" s="1995"/>
      <c r="E31" s="1995"/>
      <c r="F31" s="1996"/>
      <c r="G31" s="208" t="s">
        <v>443</v>
      </c>
      <c r="H31" s="1994" t="s">
        <v>444</v>
      </c>
      <c r="I31" s="1995"/>
      <c r="J31" s="1995"/>
      <c r="K31" s="1995"/>
      <c r="L31" s="1996"/>
      <c r="M31" s="1994" t="s">
        <v>445</v>
      </c>
      <c r="N31" s="1996"/>
      <c r="O31" s="1997" t="s">
        <v>334</v>
      </c>
      <c r="P31" s="1992"/>
    </row>
    <row r="32" spans="1:16" ht="72.75" thickBot="1">
      <c r="A32" s="1685" t="s">
        <v>446</v>
      </c>
      <c r="B32" s="1987"/>
      <c r="C32" s="209" t="s">
        <v>447</v>
      </c>
      <c r="D32" s="69" t="s">
        <v>448</v>
      </c>
      <c r="E32" s="69" t="s">
        <v>449</v>
      </c>
      <c r="F32" s="210" t="s">
        <v>334</v>
      </c>
      <c r="G32" s="67" t="s">
        <v>450</v>
      </c>
      <c r="H32" s="69" t="s">
        <v>451</v>
      </c>
      <c r="I32" s="69" t="s">
        <v>452</v>
      </c>
      <c r="J32" s="69" t="s">
        <v>453</v>
      </c>
      <c r="K32" s="69" t="s">
        <v>454</v>
      </c>
      <c r="L32" s="69" t="s">
        <v>259</v>
      </c>
      <c r="M32" s="69" t="s">
        <v>455</v>
      </c>
      <c r="N32" s="69" t="s">
        <v>456</v>
      </c>
      <c r="O32" s="1998"/>
      <c r="P32" s="1993"/>
    </row>
    <row r="33" spans="2:16" ht="23.25">
      <c r="B33" s="9" t="s">
        <v>278</v>
      </c>
      <c r="C33" s="25">
        <f>'Cat-1'!F87</f>
        <v>187715.38863999999</v>
      </c>
      <c r="D33" s="26">
        <f>'Cat-1'!K117</f>
        <v>0</v>
      </c>
      <c r="E33" s="27">
        <f>'Cat-1'!K102</f>
        <v>0</v>
      </c>
      <c r="F33" s="47">
        <f>IF(SUM(C33:E33)=0,"",SUM(C33:E33))</f>
        <v>187715.38863999999</v>
      </c>
      <c r="G33" s="28">
        <f>'Cat-2'!K26</f>
        <v>163717.85000000003</v>
      </c>
      <c r="H33" s="29">
        <f>'Cat-3'!R177</f>
        <v>6432.2701084800001</v>
      </c>
      <c r="I33" s="26">
        <f>'Cat-3'!R192</f>
        <v>3706.89398085024</v>
      </c>
      <c r="J33" s="26">
        <f>'Cat-3'!M132</f>
        <v>4552.8260679999994</v>
      </c>
      <c r="K33" s="26">
        <f>'Cat-3'!I147</f>
        <v>73.354982400000011</v>
      </c>
      <c r="L33" s="26">
        <f>'Cat-3'!P162</f>
        <v>26.730539999999998</v>
      </c>
      <c r="M33" s="26">
        <f>'Cat-4'!J57</f>
        <v>17043.028185000003</v>
      </c>
      <c r="N33" s="30">
        <f>'Cat-4'!Y72</f>
        <v>19778.041649264593</v>
      </c>
      <c r="O33" s="48">
        <f>IF(SUM(H33:N33)=0,"",SUM(H33:N33))</f>
        <v>51613.145513994838</v>
      </c>
      <c r="P33" s="49">
        <f>IF(SUM(F33,G33,O33)=0,"",SUM(F33,G33,O33))</f>
        <v>403046.38415399485</v>
      </c>
    </row>
    <row r="34" spans="2:16" ht="23.25">
      <c r="B34" s="10" t="s">
        <v>279</v>
      </c>
      <c r="C34" s="31">
        <f>'Cat-1'!F88</f>
        <v>0</v>
      </c>
      <c r="D34" s="32">
        <f>'Cat-1'!K118</f>
        <v>0</v>
      </c>
      <c r="E34" s="33">
        <f>'Cat-1'!K103</f>
        <v>0</v>
      </c>
      <c r="F34" s="50" t="str">
        <f t="shared" ref="F34:F44" si="4">IF(SUM(C34:E34)=0,"",SUM(C34:E34))</f>
        <v/>
      </c>
      <c r="G34" s="34">
        <f>'Cat-2'!K27</f>
        <v>0</v>
      </c>
      <c r="H34" s="35">
        <f>'Cat-3'!R178</f>
        <v>0</v>
      </c>
      <c r="I34" s="32">
        <f>'Cat-3'!R193</f>
        <v>0</v>
      </c>
      <c r="J34" s="32">
        <f>'Cat-3'!M133</f>
        <v>0</v>
      </c>
      <c r="K34" s="32">
        <f>'Cat-3'!I148</f>
        <v>0</v>
      </c>
      <c r="L34" s="32">
        <f>'Cat-3'!P163</f>
        <v>0</v>
      </c>
      <c r="M34" s="32">
        <f>'Cat-4'!J58</f>
        <v>0</v>
      </c>
      <c r="N34" s="36">
        <f>'Cat-4'!Y73</f>
        <v>0</v>
      </c>
      <c r="O34" s="51" t="str">
        <f t="shared" ref="O34:O44" si="5">IF(SUM(H34:N34)=0,"",SUM(H34:N34))</f>
        <v/>
      </c>
      <c r="P34" s="52" t="str">
        <f t="shared" ref="P34:P45" si="6">IF(SUM(F34,G34,O34)=0,"",SUM(F34,G34,O34))</f>
        <v/>
      </c>
    </row>
    <row r="35" spans="2:16" ht="23.25">
      <c r="B35" s="10" t="s">
        <v>280</v>
      </c>
      <c r="C35" s="31">
        <f>'Cat-1'!F89</f>
        <v>0</v>
      </c>
      <c r="D35" s="32">
        <f>'Cat-1'!K119</f>
        <v>0</v>
      </c>
      <c r="E35" s="33">
        <f>'Cat-1'!K104</f>
        <v>0</v>
      </c>
      <c r="F35" s="50" t="str">
        <f t="shared" si="4"/>
        <v/>
      </c>
      <c r="G35" s="34">
        <f>'Cat-2'!K28</f>
        <v>0</v>
      </c>
      <c r="H35" s="35">
        <f>'Cat-3'!R179</f>
        <v>0</v>
      </c>
      <c r="I35" s="32">
        <f>'Cat-3'!R194</f>
        <v>0</v>
      </c>
      <c r="J35" s="32">
        <f>'Cat-3'!M134</f>
        <v>0</v>
      </c>
      <c r="K35" s="32">
        <f>'Cat-3'!I149</f>
        <v>0</v>
      </c>
      <c r="L35" s="32">
        <f>'Cat-3'!P164</f>
        <v>0</v>
      </c>
      <c r="M35" s="32">
        <f>'Cat-4'!J59</f>
        <v>0</v>
      </c>
      <c r="N35" s="36">
        <f>'Cat-4'!Y74</f>
        <v>0</v>
      </c>
      <c r="O35" s="51" t="str">
        <f t="shared" si="5"/>
        <v/>
      </c>
      <c r="P35" s="52" t="str">
        <f t="shared" si="6"/>
        <v/>
      </c>
    </row>
    <row r="36" spans="2:16" ht="23.25">
      <c r="B36" s="10" t="s">
        <v>281</v>
      </c>
      <c r="C36" s="31">
        <f>'Cat-1'!F90</f>
        <v>0</v>
      </c>
      <c r="D36" s="32">
        <f>'Cat-1'!K120</f>
        <v>0</v>
      </c>
      <c r="E36" s="33">
        <f>'Cat-1'!K105</f>
        <v>0</v>
      </c>
      <c r="F36" s="50" t="str">
        <f t="shared" si="4"/>
        <v/>
      </c>
      <c r="G36" s="34">
        <f>'Cat-2'!K29</f>
        <v>0</v>
      </c>
      <c r="H36" s="35">
        <f>'Cat-3'!R180</f>
        <v>0</v>
      </c>
      <c r="I36" s="32">
        <f>'Cat-3'!R195</f>
        <v>0</v>
      </c>
      <c r="J36" s="32">
        <f>'Cat-3'!M135</f>
        <v>0</v>
      </c>
      <c r="K36" s="32">
        <f>'Cat-3'!I150</f>
        <v>0</v>
      </c>
      <c r="L36" s="32">
        <f>'Cat-3'!P165</f>
        <v>0</v>
      </c>
      <c r="M36" s="32">
        <f>'Cat-4'!J60</f>
        <v>0</v>
      </c>
      <c r="N36" s="36">
        <f>'Cat-4'!Y75</f>
        <v>0</v>
      </c>
      <c r="O36" s="51" t="str">
        <f t="shared" si="5"/>
        <v/>
      </c>
      <c r="P36" s="52" t="str">
        <f t="shared" si="6"/>
        <v/>
      </c>
    </row>
    <row r="37" spans="2:16" ht="23.25">
      <c r="B37" s="10" t="s">
        <v>132</v>
      </c>
      <c r="C37" s="31">
        <f>'Cat-1'!F91</f>
        <v>0</v>
      </c>
      <c r="D37" s="32">
        <f>'Cat-1'!K121</f>
        <v>0</v>
      </c>
      <c r="E37" s="33">
        <f>'Cat-1'!K106</f>
        <v>0</v>
      </c>
      <c r="F37" s="50" t="str">
        <f t="shared" si="4"/>
        <v/>
      </c>
      <c r="G37" s="34">
        <f>'Cat-2'!K30</f>
        <v>0</v>
      </c>
      <c r="H37" s="35">
        <f>'Cat-3'!R181</f>
        <v>0</v>
      </c>
      <c r="I37" s="32">
        <f>'Cat-3'!R196</f>
        <v>0</v>
      </c>
      <c r="J37" s="32">
        <f>'Cat-3'!M136</f>
        <v>0</v>
      </c>
      <c r="K37" s="32">
        <f>'Cat-3'!I151</f>
        <v>0</v>
      </c>
      <c r="L37" s="32">
        <f>'Cat-3'!P166</f>
        <v>0</v>
      </c>
      <c r="M37" s="32">
        <f>'Cat-4'!J61</f>
        <v>0</v>
      </c>
      <c r="N37" s="36">
        <f>'Cat-4'!Y76</f>
        <v>0</v>
      </c>
      <c r="O37" s="51" t="str">
        <f t="shared" si="5"/>
        <v/>
      </c>
      <c r="P37" s="52" t="str">
        <f t="shared" si="6"/>
        <v/>
      </c>
    </row>
    <row r="38" spans="2:16" ht="23.25">
      <c r="B38" s="10" t="s">
        <v>282</v>
      </c>
      <c r="C38" s="31">
        <f>'Cat-1'!F92</f>
        <v>0</v>
      </c>
      <c r="D38" s="32">
        <f>'Cat-1'!K122</f>
        <v>0</v>
      </c>
      <c r="E38" s="33">
        <f>'Cat-1'!K107</f>
        <v>0</v>
      </c>
      <c r="F38" s="50" t="str">
        <f t="shared" si="4"/>
        <v/>
      </c>
      <c r="G38" s="34">
        <f>'Cat-2'!K31</f>
        <v>0</v>
      </c>
      <c r="H38" s="35">
        <f>'Cat-3'!R182</f>
        <v>0</v>
      </c>
      <c r="I38" s="32">
        <f>'Cat-3'!R197</f>
        <v>0</v>
      </c>
      <c r="J38" s="32">
        <f>'Cat-3'!M137</f>
        <v>0</v>
      </c>
      <c r="K38" s="32">
        <f>'Cat-3'!I152</f>
        <v>0</v>
      </c>
      <c r="L38" s="32">
        <f>'Cat-3'!P167</f>
        <v>0</v>
      </c>
      <c r="M38" s="32">
        <f>'Cat-4'!J62</f>
        <v>0</v>
      </c>
      <c r="N38" s="36">
        <f>'Cat-4'!Y77</f>
        <v>0</v>
      </c>
      <c r="O38" s="51" t="str">
        <f t="shared" si="5"/>
        <v/>
      </c>
      <c r="P38" s="52" t="str">
        <f t="shared" si="6"/>
        <v/>
      </c>
    </row>
    <row r="39" spans="2:16" ht="23.25">
      <c r="B39" s="10" t="s">
        <v>283</v>
      </c>
      <c r="C39" s="31">
        <f>'Cat-1'!F93</f>
        <v>0</v>
      </c>
      <c r="D39" s="32">
        <f>'Cat-1'!K123</f>
        <v>0</v>
      </c>
      <c r="E39" s="33">
        <f>'Cat-1'!K108</f>
        <v>0</v>
      </c>
      <c r="F39" s="50" t="str">
        <f t="shared" si="4"/>
        <v/>
      </c>
      <c r="G39" s="34">
        <f>'Cat-2'!K32</f>
        <v>0</v>
      </c>
      <c r="H39" s="35">
        <f>'Cat-3'!R183</f>
        <v>0</v>
      </c>
      <c r="I39" s="32">
        <f>'Cat-3'!R198</f>
        <v>0</v>
      </c>
      <c r="J39" s="32">
        <f>'Cat-3'!M138</f>
        <v>0</v>
      </c>
      <c r="K39" s="32">
        <f>'Cat-3'!I153</f>
        <v>0</v>
      </c>
      <c r="L39" s="32">
        <f>'Cat-3'!P168</f>
        <v>0</v>
      </c>
      <c r="M39" s="32">
        <f>'Cat-4'!J63</f>
        <v>0</v>
      </c>
      <c r="N39" s="36">
        <f>'Cat-4'!Y78</f>
        <v>0</v>
      </c>
      <c r="O39" s="51" t="str">
        <f t="shared" si="5"/>
        <v/>
      </c>
      <c r="P39" s="52" t="str">
        <f t="shared" si="6"/>
        <v/>
      </c>
    </row>
    <row r="40" spans="2:16" ht="23.25">
      <c r="B40" s="10" t="s">
        <v>284</v>
      </c>
      <c r="C40" s="31">
        <f>'Cat-1'!F94</f>
        <v>0</v>
      </c>
      <c r="D40" s="32">
        <f>'Cat-1'!K124</f>
        <v>0</v>
      </c>
      <c r="E40" s="33">
        <f>'Cat-1'!K109</f>
        <v>0</v>
      </c>
      <c r="F40" s="50" t="str">
        <f t="shared" si="4"/>
        <v/>
      </c>
      <c r="G40" s="34">
        <f>'Cat-2'!K33</f>
        <v>0</v>
      </c>
      <c r="H40" s="35">
        <f>'Cat-3'!R184</f>
        <v>0</v>
      </c>
      <c r="I40" s="32">
        <f>'Cat-3'!R199</f>
        <v>0</v>
      </c>
      <c r="J40" s="32">
        <f>'Cat-3'!M139</f>
        <v>0</v>
      </c>
      <c r="K40" s="32">
        <f>'Cat-3'!I154</f>
        <v>0</v>
      </c>
      <c r="L40" s="32">
        <f>'Cat-3'!P169</f>
        <v>0</v>
      </c>
      <c r="M40" s="32">
        <f>'Cat-4'!J64</f>
        <v>0</v>
      </c>
      <c r="N40" s="36">
        <f>'Cat-4'!Y79</f>
        <v>0</v>
      </c>
      <c r="O40" s="51" t="str">
        <f t="shared" si="5"/>
        <v/>
      </c>
      <c r="P40" s="52" t="str">
        <f t="shared" si="6"/>
        <v/>
      </c>
    </row>
    <row r="41" spans="2:16" ht="23.25">
      <c r="B41" s="10" t="s">
        <v>285</v>
      </c>
      <c r="C41" s="31">
        <f>'Cat-1'!F95</f>
        <v>0</v>
      </c>
      <c r="D41" s="32">
        <f>'Cat-1'!K125</f>
        <v>0</v>
      </c>
      <c r="E41" s="33">
        <f>'Cat-1'!K110</f>
        <v>0</v>
      </c>
      <c r="F41" s="50" t="str">
        <f t="shared" si="4"/>
        <v/>
      </c>
      <c r="G41" s="34">
        <f>'Cat-2'!K34</f>
        <v>0</v>
      </c>
      <c r="H41" s="35">
        <f>'Cat-3'!R185</f>
        <v>0</v>
      </c>
      <c r="I41" s="32">
        <f>'Cat-3'!R200</f>
        <v>0</v>
      </c>
      <c r="J41" s="32">
        <f>'Cat-3'!M140</f>
        <v>0</v>
      </c>
      <c r="K41" s="32">
        <f>'Cat-3'!I155</f>
        <v>0</v>
      </c>
      <c r="L41" s="32">
        <f>'Cat-3'!P170</f>
        <v>0</v>
      </c>
      <c r="M41" s="32">
        <f>'Cat-4'!J65</f>
        <v>0</v>
      </c>
      <c r="N41" s="36">
        <f>'Cat-4'!Y80</f>
        <v>0</v>
      </c>
      <c r="O41" s="51" t="str">
        <f t="shared" si="5"/>
        <v/>
      </c>
      <c r="P41" s="52" t="str">
        <f t="shared" si="6"/>
        <v/>
      </c>
    </row>
    <row r="42" spans="2:16" ht="23.25">
      <c r="B42" s="10" t="s">
        <v>286</v>
      </c>
      <c r="C42" s="31">
        <f>'Cat-1'!F96</f>
        <v>0</v>
      </c>
      <c r="D42" s="32">
        <f>'Cat-1'!K126</f>
        <v>0</v>
      </c>
      <c r="E42" s="33">
        <f>'Cat-1'!K111</f>
        <v>0</v>
      </c>
      <c r="F42" s="50" t="str">
        <f t="shared" si="4"/>
        <v/>
      </c>
      <c r="G42" s="34">
        <f>'Cat-2'!K35</f>
        <v>0</v>
      </c>
      <c r="H42" s="35">
        <f>'Cat-3'!R186</f>
        <v>0</v>
      </c>
      <c r="I42" s="32">
        <f>'Cat-3'!R201</f>
        <v>0</v>
      </c>
      <c r="J42" s="32">
        <f>'Cat-3'!M141</f>
        <v>0</v>
      </c>
      <c r="K42" s="32">
        <f>'Cat-3'!I156</f>
        <v>0</v>
      </c>
      <c r="L42" s="32">
        <f>'Cat-3'!P171</f>
        <v>0</v>
      </c>
      <c r="M42" s="32">
        <f>'Cat-4'!J66</f>
        <v>0</v>
      </c>
      <c r="N42" s="36">
        <f>'Cat-4'!Y81</f>
        <v>0</v>
      </c>
      <c r="O42" s="51" t="str">
        <f t="shared" si="5"/>
        <v/>
      </c>
      <c r="P42" s="52" t="str">
        <f t="shared" si="6"/>
        <v/>
      </c>
    </row>
    <row r="43" spans="2:16" ht="23.25">
      <c r="B43" s="10" t="s">
        <v>287</v>
      </c>
      <c r="C43" s="31">
        <f>'Cat-1'!F97</f>
        <v>0</v>
      </c>
      <c r="D43" s="32">
        <f>'Cat-1'!K127</f>
        <v>0</v>
      </c>
      <c r="E43" s="33">
        <f>'Cat-1'!K112</f>
        <v>0</v>
      </c>
      <c r="F43" s="50" t="str">
        <f t="shared" si="4"/>
        <v/>
      </c>
      <c r="G43" s="34">
        <f>'Cat-2'!K36</f>
        <v>0</v>
      </c>
      <c r="H43" s="35">
        <f>'Cat-3'!R187</f>
        <v>0</v>
      </c>
      <c r="I43" s="32">
        <f>'Cat-3'!R202</f>
        <v>0</v>
      </c>
      <c r="J43" s="32">
        <f>'Cat-3'!M142</f>
        <v>0</v>
      </c>
      <c r="K43" s="32">
        <f>'Cat-3'!I157</f>
        <v>0</v>
      </c>
      <c r="L43" s="32">
        <f>'Cat-3'!P172</f>
        <v>0</v>
      </c>
      <c r="M43" s="32">
        <f>'Cat-4'!J67</f>
        <v>0</v>
      </c>
      <c r="N43" s="36">
        <f>'Cat-4'!Y82</f>
        <v>0</v>
      </c>
      <c r="O43" s="51" t="str">
        <f t="shared" si="5"/>
        <v/>
      </c>
      <c r="P43" s="52" t="str">
        <f t="shared" si="6"/>
        <v/>
      </c>
    </row>
    <row r="44" spans="2:16" ht="24" thickBot="1">
      <c r="B44" s="11" t="s">
        <v>288</v>
      </c>
      <c r="C44" s="31">
        <f>'Cat-1'!F98</f>
        <v>0</v>
      </c>
      <c r="D44" s="32">
        <f>'Cat-1'!K128</f>
        <v>0</v>
      </c>
      <c r="E44" s="33">
        <f>'Cat-1'!K113</f>
        <v>0</v>
      </c>
      <c r="F44" s="53" t="str">
        <f t="shared" si="4"/>
        <v/>
      </c>
      <c r="G44" s="34">
        <f>'Cat-2'!K37</f>
        <v>0</v>
      </c>
      <c r="H44" s="35">
        <f>'Cat-3'!R188</f>
        <v>0</v>
      </c>
      <c r="I44" s="32">
        <f>'Cat-3'!R203</f>
        <v>0</v>
      </c>
      <c r="J44" s="32">
        <f>'Cat-3'!M143</f>
        <v>0</v>
      </c>
      <c r="K44" s="32">
        <f>'Cat-3'!I158</f>
        <v>0</v>
      </c>
      <c r="L44" s="32">
        <f>'Cat-3'!P173</f>
        <v>0</v>
      </c>
      <c r="M44" s="32">
        <f>'Cat-4'!J68</f>
        <v>0</v>
      </c>
      <c r="N44" s="36">
        <f>'Cat-4'!Y83</f>
        <v>0</v>
      </c>
      <c r="O44" s="54" t="str">
        <f t="shared" si="5"/>
        <v/>
      </c>
      <c r="P44" s="55" t="str">
        <f t="shared" si="6"/>
        <v/>
      </c>
    </row>
    <row r="45" spans="2:16" ht="24" thickBot="1">
      <c r="B45" s="12" t="s">
        <v>334</v>
      </c>
      <c r="C45" s="211">
        <f>IF(SUM(C33:C44)=0,"",SUM(C33:C44))</f>
        <v>187715.38863999999</v>
      </c>
      <c r="D45" s="212" t="str">
        <f t="shared" ref="D45:J45" si="7">IF(SUM(D33:D44)=0,"",SUM(D33:D44))</f>
        <v/>
      </c>
      <c r="E45" s="213" t="str">
        <f t="shared" si="7"/>
        <v/>
      </c>
      <c r="F45" s="56">
        <f t="shared" si="7"/>
        <v>187715.38863999999</v>
      </c>
      <c r="G45" s="57">
        <f t="shared" si="7"/>
        <v>163717.85000000003</v>
      </c>
      <c r="H45" s="214">
        <f t="shared" si="7"/>
        <v>6432.2701084800001</v>
      </c>
      <c r="I45" s="212">
        <f t="shared" si="7"/>
        <v>3706.89398085024</v>
      </c>
      <c r="J45" s="212">
        <f t="shared" si="7"/>
        <v>4552.8260679999994</v>
      </c>
      <c r="K45" s="212"/>
      <c r="L45" s="212">
        <f t="shared" ref="L45:O45" si="8">IF(SUM(L33:L44)=0,"",SUM(L33:L44))</f>
        <v>26.730539999999998</v>
      </c>
      <c r="M45" s="212">
        <f t="shared" si="8"/>
        <v>17043.028185000003</v>
      </c>
      <c r="N45" s="215">
        <f t="shared" si="8"/>
        <v>19778.041649264593</v>
      </c>
      <c r="O45" s="57">
        <f t="shared" si="8"/>
        <v>51613.145513994838</v>
      </c>
      <c r="P45" s="58">
        <f t="shared" si="6"/>
        <v>403046.38415399485</v>
      </c>
    </row>
  </sheetData>
  <mergeCells count="20">
    <mergeCell ref="O7:O8"/>
    <mergeCell ref="H6:O6"/>
    <mergeCell ref="C6:F6"/>
    <mergeCell ref="C7:F7"/>
    <mergeCell ref="A4:A5"/>
    <mergeCell ref="B6:B8"/>
    <mergeCell ref="B5:P5"/>
    <mergeCell ref="P6:P8"/>
    <mergeCell ref="H7:L7"/>
    <mergeCell ref="M7:N7"/>
    <mergeCell ref="A26:A27"/>
    <mergeCell ref="B29:P29"/>
    <mergeCell ref="B30:B32"/>
    <mergeCell ref="C30:F30"/>
    <mergeCell ref="H30:O30"/>
    <mergeCell ref="P30:P32"/>
    <mergeCell ref="C31:F31"/>
    <mergeCell ref="H31:L31"/>
    <mergeCell ref="M31:N31"/>
    <mergeCell ref="O31:O32"/>
  </mergeCells>
  <pageMargins left="0.7" right="0.7" top="0.75" bottom="0.75" header="0.3" footer="0.3"/>
  <pageSetup orientation="portrait" horizontalDpi="4294967295" verticalDpi="4294967295" r:id="rId1"/>
  <ignoredErrors>
    <ignoredError sqref="F9:F20 O10:O20" unlockedFormula="1"/>
  </ignoredError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2C4FA9-C7A2-4919-BBC3-31AF980B1606}">
  <dimension ref="A1:Q116"/>
  <sheetViews>
    <sheetView showGridLines="0" zoomScale="70" zoomScaleNormal="70" workbookViewId="0">
      <pane xSplit="1" ySplit="3" topLeftCell="B22" activePane="bottomRight" state="frozen"/>
      <selection pane="topRight" activeCell="B1" sqref="B1"/>
      <selection pane="bottomLeft" activeCell="A4" sqref="A4"/>
      <selection pane="bottomRight" activeCell="V54" sqref="V54"/>
    </sheetView>
  </sheetViews>
  <sheetFormatPr defaultColWidth="14.42578125" defaultRowHeight="16.5"/>
  <cols>
    <col min="1" max="1" width="34.7109375" style="41" customWidth="1"/>
    <col min="2" max="2" width="10.140625" style="41" bestFit="1" customWidth="1"/>
    <col min="3" max="6" width="14.42578125" style="41"/>
    <col min="7" max="7" width="14.42578125" style="95"/>
    <col min="8" max="9" width="14.42578125" style="41"/>
    <col min="10" max="10" width="20.28515625" style="41" customWidth="1"/>
    <col min="11" max="11" width="18.7109375" style="41" customWidth="1"/>
    <col min="12" max="12" width="21.28515625" style="41" customWidth="1"/>
    <col min="13" max="13" width="20.85546875" style="41" customWidth="1"/>
    <col min="14" max="16384" width="14.42578125" style="41"/>
  </cols>
  <sheetData>
    <row r="1" spans="1:17" ht="34.5" customHeight="1"/>
    <row r="2" spans="1:17" ht="34.5" customHeight="1"/>
    <row r="3" spans="1:17" ht="34.5" customHeight="1"/>
    <row r="4" spans="1:17" ht="34.5" customHeight="1" thickBot="1">
      <c r="A4" s="2000">
        <v>2023</v>
      </c>
    </row>
    <row r="5" spans="1:17" s="43" customFormat="1" ht="21.75" thickBot="1">
      <c r="A5" s="2000"/>
      <c r="B5" s="2007" t="s">
        <v>121</v>
      </c>
      <c r="C5" s="1934" t="s">
        <v>457</v>
      </c>
      <c r="D5" s="1935"/>
      <c r="E5" s="1935"/>
      <c r="F5" s="1935"/>
      <c r="G5" s="1935"/>
      <c r="H5" s="1935"/>
      <c r="I5" s="1935"/>
      <c r="J5" s="1936"/>
      <c r="L5" s="2010" t="s">
        <v>458</v>
      </c>
      <c r="N5" s="1934" t="s">
        <v>459</v>
      </c>
      <c r="O5" s="1935"/>
      <c r="P5" s="1935"/>
      <c r="Q5" s="1936"/>
    </row>
    <row r="6" spans="1:17" s="44" customFormat="1" ht="54.75" thickBot="1">
      <c r="A6" s="1685" t="s">
        <v>460</v>
      </c>
      <c r="B6" s="2009"/>
      <c r="C6" s="63" t="s">
        <v>461</v>
      </c>
      <c r="D6" s="63" t="s">
        <v>462</v>
      </c>
      <c r="E6" s="63" t="s">
        <v>463</v>
      </c>
      <c r="F6" s="63" t="s">
        <v>464</v>
      </c>
      <c r="G6" s="68" t="s">
        <v>465</v>
      </c>
      <c r="H6" s="63" t="s">
        <v>466</v>
      </c>
      <c r="I6" s="63" t="s">
        <v>467</v>
      </c>
      <c r="J6" s="68" t="s">
        <v>468</v>
      </c>
      <c r="L6" s="2011"/>
      <c r="N6" s="63" t="s">
        <v>121</v>
      </c>
      <c r="O6" s="63" t="s">
        <v>469</v>
      </c>
      <c r="P6" s="63" t="s">
        <v>470</v>
      </c>
      <c r="Q6" s="63" t="s">
        <v>300</v>
      </c>
    </row>
    <row r="7" spans="1:17" ht="21">
      <c r="A7" s="1685" t="s">
        <v>471</v>
      </c>
      <c r="B7" s="10" t="s">
        <v>278</v>
      </c>
      <c r="C7" s="294"/>
      <c r="D7" s="294"/>
      <c r="E7" s="294"/>
      <c r="F7" s="294"/>
      <c r="G7" s="131"/>
      <c r="H7" s="294"/>
      <c r="I7" s="294"/>
      <c r="J7" s="99" t="str">
        <f>IF(SUM(C7:I7)=0,"",SUM(C7:I7))</f>
        <v/>
      </c>
      <c r="L7" s="99">
        <f>IF((SUM(K25,J7)/1000)=0,"",(SUM(K25,J7)/1000))</f>
        <v>35.657599999999995</v>
      </c>
      <c r="N7" s="9" t="s">
        <v>472</v>
      </c>
      <c r="O7" s="292">
        <f>'Food Wastage'!C5</f>
        <v>90</v>
      </c>
      <c r="P7" s="292">
        <f>'Food Wastage'!E5</f>
        <v>18</v>
      </c>
      <c r="Q7" s="105">
        <f>IFERROR(P7/O7,"")</f>
        <v>0.2</v>
      </c>
    </row>
    <row r="8" spans="1:17" ht="21">
      <c r="A8" s="1685" t="s">
        <v>473</v>
      </c>
      <c r="B8" s="10" t="s">
        <v>279</v>
      </c>
      <c r="C8" s="280"/>
      <c r="D8" s="280"/>
      <c r="E8" s="280"/>
      <c r="F8" s="280"/>
      <c r="G8" s="137"/>
      <c r="H8" s="280"/>
      <c r="I8" s="280"/>
      <c r="J8" s="100" t="str">
        <f t="shared" ref="J8:J19" si="0">IF(SUM(C8:I8)=0,"",SUM(C8:I8))</f>
        <v/>
      </c>
      <c r="L8" s="100">
        <f t="shared" ref="L8:L18" si="1">IF((SUM(K26,J8)/1000)=0,"",(SUM(K26,J8)/1000))</f>
        <v>31.194399999999998</v>
      </c>
      <c r="N8" s="10" t="s">
        <v>279</v>
      </c>
      <c r="O8" s="293">
        <f>'Food Wastage'!C6</f>
        <v>80</v>
      </c>
      <c r="P8" s="293">
        <f>'Food Wastage'!E6</f>
        <v>16</v>
      </c>
      <c r="Q8" s="103">
        <f t="shared" ref="Q8:Q19" si="2">IFERROR(P8/O8,"")</f>
        <v>0.2</v>
      </c>
    </row>
    <row r="9" spans="1:17" ht="18">
      <c r="B9" s="10" t="s">
        <v>280</v>
      </c>
      <c r="C9" s="280"/>
      <c r="D9" s="280"/>
      <c r="E9" s="280"/>
      <c r="F9" s="280"/>
      <c r="G9" s="137"/>
      <c r="H9" s="280"/>
      <c r="I9" s="280"/>
      <c r="J9" s="100" t="str">
        <f t="shared" si="0"/>
        <v/>
      </c>
      <c r="L9" s="100">
        <f t="shared" si="1"/>
        <v>34.715800000000002</v>
      </c>
      <c r="N9" s="10" t="s">
        <v>280</v>
      </c>
      <c r="O9" s="293">
        <f>'Food Wastage'!C7</f>
        <v>95</v>
      </c>
      <c r="P9" s="293">
        <f>'Food Wastage'!E7</f>
        <v>21</v>
      </c>
      <c r="Q9" s="103">
        <f t="shared" si="2"/>
        <v>0.22105263157894736</v>
      </c>
    </row>
    <row r="10" spans="1:17" ht="18">
      <c r="B10" s="10" t="s">
        <v>281</v>
      </c>
      <c r="C10" s="280"/>
      <c r="D10" s="280"/>
      <c r="E10" s="280"/>
      <c r="F10" s="280"/>
      <c r="G10" s="137"/>
      <c r="H10" s="280"/>
      <c r="I10" s="280"/>
      <c r="J10" s="100" t="str">
        <f t="shared" si="0"/>
        <v/>
      </c>
      <c r="L10" s="100">
        <f t="shared" si="1"/>
        <v>46.469800000000006</v>
      </c>
      <c r="N10" s="10" t="s">
        <v>281</v>
      </c>
      <c r="O10" s="293">
        <f>'Food Wastage'!C8</f>
        <v>30</v>
      </c>
      <c r="P10" s="293">
        <f>'Food Wastage'!E8</f>
        <v>6</v>
      </c>
      <c r="Q10" s="103">
        <f t="shared" si="2"/>
        <v>0.2</v>
      </c>
    </row>
    <row r="11" spans="1:17" ht="18">
      <c r="B11" s="10" t="s">
        <v>132</v>
      </c>
      <c r="C11" s="280"/>
      <c r="D11" s="280"/>
      <c r="E11" s="280"/>
      <c r="F11" s="280"/>
      <c r="G11" s="137"/>
      <c r="H11" s="280"/>
      <c r="I11" s="280"/>
      <c r="J11" s="100" t="str">
        <f t="shared" si="0"/>
        <v/>
      </c>
      <c r="L11" s="100">
        <f t="shared" si="1"/>
        <v>40.975900000000003</v>
      </c>
      <c r="N11" s="10" t="s">
        <v>132</v>
      </c>
      <c r="O11" s="293">
        <f>'Food Wastage'!C9</f>
        <v>50</v>
      </c>
      <c r="P11" s="293">
        <f>'Food Wastage'!E9</f>
        <v>10</v>
      </c>
      <c r="Q11" s="103">
        <f t="shared" si="2"/>
        <v>0.2</v>
      </c>
    </row>
    <row r="12" spans="1:17" ht="18">
      <c r="B12" s="10" t="s">
        <v>282</v>
      </c>
      <c r="C12" s="280"/>
      <c r="D12" s="280"/>
      <c r="E12" s="280"/>
      <c r="F12" s="280"/>
      <c r="G12" s="137"/>
      <c r="H12" s="280"/>
      <c r="I12" s="280"/>
      <c r="J12" s="100" t="str">
        <f t="shared" si="0"/>
        <v/>
      </c>
      <c r="L12" s="100">
        <f t="shared" si="1"/>
        <v>55.778100000000002</v>
      </c>
      <c r="N12" s="10" t="s">
        <v>282</v>
      </c>
      <c r="O12" s="293">
        <f>'Food Wastage'!C10</f>
        <v>25</v>
      </c>
      <c r="P12" s="293">
        <f>'Food Wastage'!E10</f>
        <v>5</v>
      </c>
      <c r="Q12" s="103">
        <f t="shared" si="2"/>
        <v>0.2</v>
      </c>
    </row>
    <row r="13" spans="1:17" ht="18">
      <c r="B13" s="10" t="s">
        <v>283</v>
      </c>
      <c r="C13" s="280"/>
      <c r="D13" s="280"/>
      <c r="E13" s="280"/>
      <c r="F13" s="280"/>
      <c r="G13" s="137"/>
      <c r="H13" s="280"/>
      <c r="I13" s="280"/>
      <c r="J13" s="100" t="str">
        <f t="shared" si="0"/>
        <v/>
      </c>
      <c r="L13" s="100">
        <f t="shared" si="1"/>
        <v>44.623599999999996</v>
      </c>
      <c r="N13" s="10" t="s">
        <v>283</v>
      </c>
      <c r="O13" s="293">
        <f>'Food Wastage'!C11</f>
        <v>30</v>
      </c>
      <c r="P13" s="293">
        <f>'Food Wastage'!E11</f>
        <v>6</v>
      </c>
      <c r="Q13" s="103">
        <f t="shared" si="2"/>
        <v>0.2</v>
      </c>
    </row>
    <row r="14" spans="1:17" ht="18">
      <c r="B14" s="10" t="s">
        <v>284</v>
      </c>
      <c r="C14" s="280"/>
      <c r="D14" s="280"/>
      <c r="E14" s="280"/>
      <c r="F14" s="280"/>
      <c r="G14" s="137"/>
      <c r="H14" s="280"/>
      <c r="I14" s="280"/>
      <c r="J14" s="100" t="str">
        <f t="shared" si="0"/>
        <v/>
      </c>
      <c r="L14" s="100">
        <f t="shared" si="1"/>
        <v>54.105199999999996</v>
      </c>
      <c r="N14" s="10" t="s">
        <v>284</v>
      </c>
      <c r="O14" s="293">
        <f>'Food Wastage'!C12</f>
        <v>30</v>
      </c>
      <c r="P14" s="293">
        <f>'Food Wastage'!E12</f>
        <v>6</v>
      </c>
      <c r="Q14" s="103">
        <f t="shared" si="2"/>
        <v>0.2</v>
      </c>
    </row>
    <row r="15" spans="1:17" ht="18">
      <c r="B15" s="10" t="s">
        <v>285</v>
      </c>
      <c r="C15" s="280"/>
      <c r="D15" s="280"/>
      <c r="E15" s="280"/>
      <c r="F15" s="280"/>
      <c r="G15" s="137"/>
      <c r="H15" s="280"/>
      <c r="I15" s="280"/>
      <c r="J15" s="100" t="str">
        <f t="shared" si="0"/>
        <v/>
      </c>
      <c r="L15" s="100">
        <f t="shared" si="1"/>
        <v>51.797800000000002</v>
      </c>
      <c r="N15" s="10" t="s">
        <v>285</v>
      </c>
      <c r="O15" s="293">
        <f>'Food Wastage'!C13</f>
        <v>25</v>
      </c>
      <c r="P15" s="293">
        <f>'Food Wastage'!E13</f>
        <v>5</v>
      </c>
      <c r="Q15" s="103">
        <f t="shared" si="2"/>
        <v>0.2</v>
      </c>
    </row>
    <row r="16" spans="1:17" ht="18">
      <c r="B16" s="10" t="s">
        <v>286</v>
      </c>
      <c r="C16" s="280"/>
      <c r="D16" s="280"/>
      <c r="E16" s="280"/>
      <c r="F16" s="280"/>
      <c r="G16" s="137"/>
      <c r="H16" s="280"/>
      <c r="I16" s="280"/>
      <c r="J16" s="100" t="str">
        <f t="shared" si="0"/>
        <v/>
      </c>
      <c r="L16" s="100">
        <f t="shared" si="1"/>
        <v>58.6952</v>
      </c>
      <c r="N16" s="10" t="s">
        <v>286</v>
      </c>
      <c r="O16" s="293">
        <f>'Food Wastage'!C14</f>
        <v>0</v>
      </c>
      <c r="P16" s="293">
        <f>'Food Wastage'!E14</f>
        <v>0</v>
      </c>
      <c r="Q16" s="103" t="str">
        <f t="shared" si="2"/>
        <v/>
      </c>
    </row>
    <row r="17" spans="2:17" ht="18">
      <c r="B17" s="10" t="s">
        <v>287</v>
      </c>
      <c r="C17" s="280"/>
      <c r="D17" s="280"/>
      <c r="E17" s="280"/>
      <c r="F17" s="280"/>
      <c r="G17" s="137"/>
      <c r="H17" s="280"/>
      <c r="I17" s="280"/>
      <c r="J17" s="100" t="str">
        <f t="shared" si="0"/>
        <v/>
      </c>
      <c r="L17" s="100">
        <f t="shared" si="1"/>
        <v>37.304449999999996</v>
      </c>
      <c r="N17" s="10" t="s">
        <v>287</v>
      </c>
      <c r="O17" s="293">
        <f>'Food Wastage'!C15</f>
        <v>0</v>
      </c>
      <c r="P17" s="293">
        <f>'Food Wastage'!E15</f>
        <v>0</v>
      </c>
      <c r="Q17" s="103" t="str">
        <f t="shared" si="2"/>
        <v/>
      </c>
    </row>
    <row r="18" spans="2:17" ht="18.75" thickBot="1">
      <c r="B18" s="109" t="s">
        <v>288</v>
      </c>
      <c r="C18" s="280"/>
      <c r="D18" s="280"/>
      <c r="E18" s="280"/>
      <c r="F18" s="280"/>
      <c r="G18" s="137"/>
      <c r="H18" s="280"/>
      <c r="I18" s="280"/>
      <c r="J18" s="101" t="str">
        <f t="shared" si="0"/>
        <v/>
      </c>
      <c r="L18" s="101">
        <f t="shared" si="1"/>
        <v>58.149800000000006</v>
      </c>
      <c r="N18" s="11" t="s">
        <v>288</v>
      </c>
      <c r="O18" s="293">
        <f>'Food Wastage'!C16</f>
        <v>0</v>
      </c>
      <c r="P18" s="293">
        <f>'Food Wastage'!E16</f>
        <v>0</v>
      </c>
      <c r="Q18" s="103" t="str">
        <f t="shared" si="2"/>
        <v/>
      </c>
    </row>
    <row r="19" spans="2:17" ht="18.75" thickBot="1">
      <c r="B19" s="12" t="s">
        <v>334</v>
      </c>
      <c r="C19" s="98" t="str">
        <f>IF(SUM(C7:C18)=0,"",SUM(C7:C18))</f>
        <v/>
      </c>
      <c r="D19" s="98" t="str">
        <f t="shared" ref="D19:G19" si="3">IF(SUM(D7:D18)=0,"",SUM(D7:D18))</f>
        <v/>
      </c>
      <c r="E19" s="98" t="str">
        <f t="shared" si="3"/>
        <v/>
      </c>
      <c r="F19" s="98" t="str">
        <f t="shared" si="3"/>
        <v/>
      </c>
      <c r="G19" s="98" t="str">
        <f t="shared" si="3"/>
        <v/>
      </c>
      <c r="H19" s="98" t="str">
        <f t="shared" ref="H19" si="4">IF(SUM(H7:H18)=0,"",SUM(H7:H18))</f>
        <v/>
      </c>
      <c r="I19" s="98" t="str">
        <f t="shared" ref="I19" si="5">IF(SUM(I7:I18)=0,"",SUM(I7:I18))</f>
        <v/>
      </c>
      <c r="J19" s="98" t="str">
        <f t="shared" si="0"/>
        <v/>
      </c>
      <c r="L19" s="98">
        <f>IF(SUM(L7:L18)=0,"",SUM(L7:L18))</f>
        <v>549.46764999999994</v>
      </c>
      <c r="N19" s="12" t="s">
        <v>334</v>
      </c>
      <c r="O19" s="98">
        <f t="shared" ref="O19" si="6">IF(SUM(O7:O18)=0,"",SUM(O7:O18))</f>
        <v>455</v>
      </c>
      <c r="P19" s="98">
        <f t="shared" ref="P19" si="7">IF(SUM(P7:P18)=0,"",SUM(P7:P18))</f>
        <v>93</v>
      </c>
      <c r="Q19" s="102">
        <f t="shared" si="2"/>
        <v>0.20439560439560439</v>
      </c>
    </row>
    <row r="20" spans="2:17" ht="18.75" thickBot="1">
      <c r="B20" s="12" t="s">
        <v>335</v>
      </c>
      <c r="C20" s="98" t="str">
        <f>IFERROR(AVERAGE(C7:C18),"")</f>
        <v/>
      </c>
      <c r="D20" s="98" t="str">
        <f t="shared" ref="D20:G20" si="8">IFERROR(AVERAGE(D7:D18),"")</f>
        <v/>
      </c>
      <c r="E20" s="98" t="str">
        <f t="shared" si="8"/>
        <v/>
      </c>
      <c r="F20" s="98" t="str">
        <f t="shared" si="8"/>
        <v/>
      </c>
      <c r="G20" s="98" t="str">
        <f t="shared" si="8"/>
        <v/>
      </c>
      <c r="H20" s="98" t="str">
        <f t="shared" ref="H20" si="9">IFERROR(AVERAGE(H7:H18),"")</f>
        <v/>
      </c>
      <c r="I20" s="98" t="str">
        <f t="shared" ref="I20" si="10">IFERROR(AVERAGE(I7:I18),"")</f>
        <v/>
      </c>
      <c r="J20" s="98" t="str">
        <f>IFERROR(AVERAGE(J7:J18),"")</f>
        <v/>
      </c>
      <c r="L20" s="98">
        <f t="shared" ref="L20" si="11">IFERROR(AVERAGE(L7:L18),"")</f>
        <v>45.78897083333333</v>
      </c>
      <c r="N20" s="12" t="s">
        <v>335</v>
      </c>
      <c r="O20" s="107">
        <f t="shared" ref="O20:P20" si="12">IFERROR(AVERAGE(O7:O18),"")</f>
        <v>37.916666666666664</v>
      </c>
      <c r="P20" s="107">
        <f t="shared" si="12"/>
        <v>7.75</v>
      </c>
      <c r="Q20" s="106"/>
    </row>
    <row r="22" spans="2:17" ht="17.25" thickBot="1"/>
    <row r="23" spans="2:17" s="43" customFormat="1" ht="21.75" thickBot="1">
      <c r="B23" s="2007" t="s">
        <v>121</v>
      </c>
      <c r="C23" s="1934" t="s">
        <v>474</v>
      </c>
      <c r="D23" s="1935"/>
      <c r="E23" s="1935"/>
      <c r="F23" s="1935"/>
      <c r="G23" s="1935"/>
      <c r="H23" s="1935"/>
      <c r="I23" s="1935"/>
      <c r="J23" s="1936"/>
      <c r="K23" s="1997" t="s">
        <v>475</v>
      </c>
    </row>
    <row r="24" spans="2:17" ht="36.75" thickBot="1">
      <c r="B24" s="2008"/>
      <c r="C24" s="45" t="s">
        <v>476</v>
      </c>
      <c r="D24" s="45" t="s">
        <v>221</v>
      </c>
      <c r="E24" s="45" t="s">
        <v>477</v>
      </c>
      <c r="F24" s="45" t="s">
        <v>478</v>
      </c>
      <c r="G24" s="45" t="s">
        <v>479</v>
      </c>
      <c r="H24" s="70" t="s">
        <v>480</v>
      </c>
      <c r="I24" s="70" t="s">
        <v>481</v>
      </c>
      <c r="J24" s="45" t="s">
        <v>467</v>
      </c>
      <c r="K24" s="1998"/>
    </row>
    <row r="25" spans="2:17" ht="18">
      <c r="B25" s="108" t="s">
        <v>278</v>
      </c>
      <c r="C25" s="294">
        <f>'Segregated wastage'!D7</f>
        <v>5979.5</v>
      </c>
      <c r="D25" s="294">
        <f>'Segregated wastage'!E7</f>
        <v>5040</v>
      </c>
      <c r="E25" s="294">
        <f>'Segregated wastage'!F7</f>
        <v>6411.8</v>
      </c>
      <c r="F25" s="294">
        <f>'Segregated wastage'!G7</f>
        <v>8853.2999999999993</v>
      </c>
      <c r="G25" s="294">
        <f>'Segregated wastage'!H7</f>
        <v>0</v>
      </c>
      <c r="H25" s="294">
        <f>'Segregated wastage'!Q7</f>
        <v>373</v>
      </c>
      <c r="I25" s="294">
        <v>0</v>
      </c>
      <c r="J25" s="294">
        <f>'Segregated wastage'!I7</f>
        <v>9000</v>
      </c>
      <c r="K25" s="99">
        <f>IF(SUM(C25:J25)=0,"",SUM(C25:J25))</f>
        <v>35657.599999999999</v>
      </c>
    </row>
    <row r="26" spans="2:17" ht="18">
      <c r="B26" s="10" t="s">
        <v>279</v>
      </c>
      <c r="C26" s="280">
        <f>'Segregated wastage'!D8</f>
        <v>4480.1000000000004</v>
      </c>
      <c r="D26" s="280">
        <f>'Segregated wastage'!E8</f>
        <v>2156.6999999999998</v>
      </c>
      <c r="E26" s="294">
        <f>'Segregated wastage'!F8</f>
        <v>3640</v>
      </c>
      <c r="F26" s="280">
        <f>'Segregated wastage'!G8</f>
        <v>9500</v>
      </c>
      <c r="G26" s="280">
        <f>'Segregated wastage'!H8</f>
        <v>2199.6</v>
      </c>
      <c r="H26" s="280">
        <f>'Segregated wastage'!Q8</f>
        <v>218</v>
      </c>
      <c r="I26" s="280">
        <v>0</v>
      </c>
      <c r="J26" s="280">
        <f>'Segregated wastage'!I8</f>
        <v>9000</v>
      </c>
      <c r="K26" s="100">
        <f t="shared" ref="K26:K36" si="13">IF(SUM(C26:J26)=0,"",SUM(C26:J26))</f>
        <v>31194.399999999998</v>
      </c>
    </row>
    <row r="27" spans="2:17" ht="18">
      <c r="B27" s="10" t="s">
        <v>280</v>
      </c>
      <c r="C27" s="280">
        <f>'Segregated wastage'!D9</f>
        <v>3473.7</v>
      </c>
      <c r="D27" s="280">
        <f>'Segregated wastage'!E9</f>
        <v>6853.8</v>
      </c>
      <c r="E27" s="294">
        <f>'Segregated wastage'!F9</f>
        <v>1904</v>
      </c>
      <c r="F27" s="280">
        <f>'Segregated wastage'!G9</f>
        <v>7998.3</v>
      </c>
      <c r="G27" s="280">
        <f>'Segregated wastage'!H9</f>
        <v>1800</v>
      </c>
      <c r="H27" s="280">
        <f>'Segregated wastage'!Q9</f>
        <v>158</v>
      </c>
      <c r="I27" s="280">
        <v>0</v>
      </c>
      <c r="J27" s="280">
        <f>'Segregated wastage'!I9</f>
        <v>12528</v>
      </c>
      <c r="K27" s="100">
        <f t="shared" si="13"/>
        <v>34715.800000000003</v>
      </c>
    </row>
    <row r="28" spans="2:17" ht="18">
      <c r="B28" s="10" t="s">
        <v>281</v>
      </c>
      <c r="C28" s="280">
        <f>'Segregated wastage'!D10</f>
        <v>4894</v>
      </c>
      <c r="D28" s="280">
        <f>'Segregated wastage'!E10</f>
        <v>6771.8</v>
      </c>
      <c r="E28" s="294">
        <f>'Segregated wastage'!F10</f>
        <v>8276</v>
      </c>
      <c r="F28" s="280">
        <f>'Segregated wastage'!G10</f>
        <v>8001</v>
      </c>
      <c r="G28" s="280">
        <f>'Segregated wastage'!H10</f>
        <v>1400</v>
      </c>
      <c r="H28" s="280">
        <f>'Segregated wastage'!Q10</f>
        <v>97</v>
      </c>
      <c r="I28" s="280">
        <v>0</v>
      </c>
      <c r="J28" s="280">
        <f>'Segregated wastage'!I10</f>
        <v>17030</v>
      </c>
      <c r="K28" s="100">
        <f t="shared" si="13"/>
        <v>46469.8</v>
      </c>
    </row>
    <row r="29" spans="2:17" ht="18">
      <c r="B29" s="10" t="s">
        <v>132</v>
      </c>
      <c r="C29" s="280">
        <f>'Segregated wastage'!D11</f>
        <v>3993.5</v>
      </c>
      <c r="D29" s="280">
        <f>'Segregated wastage'!E11</f>
        <v>4920.3999999999996</v>
      </c>
      <c r="E29" s="294">
        <f>'Segregated wastage'!F11</f>
        <v>6730.4</v>
      </c>
      <c r="F29" s="280">
        <f>'Segregated wastage'!G11</f>
        <v>8994.6</v>
      </c>
      <c r="G29" s="280">
        <f>'Segregated wastage'!H11</f>
        <v>2200</v>
      </c>
      <c r="H29" s="280">
        <f>'Segregated wastage'!Q11</f>
        <v>255</v>
      </c>
      <c r="I29" s="280">
        <v>0</v>
      </c>
      <c r="J29" s="280">
        <f>'Segregated wastage'!I11</f>
        <v>13882</v>
      </c>
      <c r="K29" s="100">
        <f t="shared" si="13"/>
        <v>40975.9</v>
      </c>
    </row>
    <row r="30" spans="2:17" ht="18">
      <c r="B30" s="10" t="s">
        <v>282</v>
      </c>
      <c r="C30" s="280">
        <f>'Segregated wastage'!D12</f>
        <v>4202</v>
      </c>
      <c r="D30" s="280">
        <f>'Segregated wastage'!E12</f>
        <v>2390.1</v>
      </c>
      <c r="E30" s="294">
        <f>'Segregated wastage'!F12</f>
        <v>3616</v>
      </c>
      <c r="F30" s="280">
        <f>'Segregated wastage'!G12</f>
        <v>17992</v>
      </c>
      <c r="G30" s="280">
        <f>'Segregated wastage'!H12</f>
        <v>2496</v>
      </c>
      <c r="H30" s="280">
        <f>'Segregated wastage'!Q12</f>
        <v>232</v>
      </c>
      <c r="I30" s="280">
        <v>0</v>
      </c>
      <c r="J30" s="280">
        <f>'Segregated wastage'!I12</f>
        <v>24850</v>
      </c>
      <c r="K30" s="100">
        <f t="shared" si="13"/>
        <v>55778.1</v>
      </c>
    </row>
    <row r="31" spans="2:17" ht="18">
      <c r="B31" s="10" t="s">
        <v>283</v>
      </c>
      <c r="C31" s="280">
        <f>'Segregated wastage'!D13</f>
        <v>4500.6000000000004</v>
      </c>
      <c r="D31" s="280">
        <f>'Segregated wastage'!E13</f>
        <v>1196.9000000000001</v>
      </c>
      <c r="E31" s="294">
        <f>'Segregated wastage'!F13</f>
        <v>4160</v>
      </c>
      <c r="F31" s="280">
        <f>'Segregated wastage'!G13</f>
        <v>9100.1</v>
      </c>
      <c r="G31" s="280">
        <f>'Segregated wastage'!H13</f>
        <v>2400</v>
      </c>
      <c r="H31" s="280">
        <f>'Segregated wastage'!Q13</f>
        <v>300</v>
      </c>
      <c r="I31" s="280">
        <v>0</v>
      </c>
      <c r="J31" s="280">
        <f>'Segregated wastage'!I13</f>
        <v>22966</v>
      </c>
      <c r="K31" s="100">
        <f t="shared" si="13"/>
        <v>44623.6</v>
      </c>
    </row>
    <row r="32" spans="2:17" ht="18">
      <c r="B32" s="10" t="s">
        <v>284</v>
      </c>
      <c r="C32" s="280">
        <f>'Segregated wastage'!D14</f>
        <v>5597.2000000000007</v>
      </c>
      <c r="D32" s="280">
        <f>'Segregated wastage'!E14</f>
        <v>1387.1999999999998</v>
      </c>
      <c r="E32" s="294">
        <f>'Segregated wastage'!F14</f>
        <v>3728</v>
      </c>
      <c r="F32" s="280">
        <f>'Segregated wastage'!G14</f>
        <v>18013.599999999999</v>
      </c>
      <c r="G32" s="280">
        <f>'Segregated wastage'!H14</f>
        <v>2499.1999999999998</v>
      </c>
      <c r="H32" s="280">
        <f>'Segregated wastage'!Q14</f>
        <v>274</v>
      </c>
      <c r="I32" s="280">
        <v>0</v>
      </c>
      <c r="J32" s="280">
        <f>'Segregated wastage'!I14</f>
        <v>22606</v>
      </c>
      <c r="K32" s="100">
        <f t="shared" si="13"/>
        <v>54105.2</v>
      </c>
    </row>
    <row r="33" spans="2:13" ht="18">
      <c r="B33" s="10" t="s">
        <v>285</v>
      </c>
      <c r="C33" s="280">
        <f>'Segregated wastage'!D15</f>
        <v>3991</v>
      </c>
      <c r="D33" s="280">
        <f>'Segregated wastage'!E15</f>
        <v>0</v>
      </c>
      <c r="E33" s="294">
        <f>'Segregated wastage'!F15</f>
        <v>3808</v>
      </c>
      <c r="F33" s="280">
        <f>'Segregated wastage'!G15</f>
        <v>29903.800000000003</v>
      </c>
      <c r="G33" s="280">
        <f>'Segregated wastage'!H15</f>
        <v>0</v>
      </c>
      <c r="H33" s="280">
        <f>'Segregated wastage'!Q15</f>
        <v>313</v>
      </c>
      <c r="I33" s="280">
        <v>0</v>
      </c>
      <c r="J33" s="280">
        <f>'Segregated wastage'!I15</f>
        <v>13782</v>
      </c>
      <c r="K33" s="100">
        <f t="shared" si="13"/>
        <v>51797.8</v>
      </c>
    </row>
    <row r="34" spans="2:13" ht="18">
      <c r="B34" s="10" t="s">
        <v>286</v>
      </c>
      <c r="C34" s="280">
        <f>'Segregated wastage'!D16</f>
        <v>3242.1000000000004</v>
      </c>
      <c r="D34" s="280">
        <f>'Segregated wastage'!E16</f>
        <v>1283.5999999999999</v>
      </c>
      <c r="E34" s="294">
        <f>'Segregated wastage'!F16</f>
        <v>3200</v>
      </c>
      <c r="F34" s="280">
        <f>'Segregated wastage'!G16</f>
        <v>34964.5</v>
      </c>
      <c r="G34" s="280">
        <f>'Segregated wastage'!H16</f>
        <v>0</v>
      </c>
      <c r="H34" s="280">
        <f>'Segregated wastage'!Q16</f>
        <v>463</v>
      </c>
      <c r="I34" s="280">
        <v>0</v>
      </c>
      <c r="J34" s="280">
        <f>'Segregated wastage'!I16</f>
        <v>15542</v>
      </c>
      <c r="K34" s="100">
        <f t="shared" si="13"/>
        <v>58695.199999999997</v>
      </c>
    </row>
    <row r="35" spans="2:13" ht="18">
      <c r="B35" s="10" t="s">
        <v>287</v>
      </c>
      <c r="C35" s="280">
        <f>'Segregated wastage'!D17</f>
        <v>0</v>
      </c>
      <c r="D35" s="280">
        <f>'Segregated wastage'!E17</f>
        <v>100</v>
      </c>
      <c r="E35" s="294">
        <f>'Segregated wastage'!F17</f>
        <v>10430.800000000001</v>
      </c>
      <c r="F35" s="280">
        <f>'Segregated wastage'!G17</f>
        <v>9985.7000000000007</v>
      </c>
      <c r="G35" s="280">
        <f>'Segregated wastage'!H17</f>
        <v>2695.45</v>
      </c>
      <c r="H35" s="280">
        <f>'Segregated wastage'!Q17</f>
        <v>422.5</v>
      </c>
      <c r="I35" s="280">
        <v>0</v>
      </c>
      <c r="J35" s="280">
        <f>'Segregated wastage'!I17</f>
        <v>13670</v>
      </c>
      <c r="K35" s="100">
        <f t="shared" si="13"/>
        <v>37304.449999999997</v>
      </c>
    </row>
    <row r="36" spans="2:13" ht="18.75" thickBot="1">
      <c r="B36" s="109" t="s">
        <v>288</v>
      </c>
      <c r="C36" s="280">
        <f>'Segregated wastage'!D18</f>
        <v>3790</v>
      </c>
      <c r="D36" s="280">
        <f>'Segregated wastage'!E18</f>
        <v>1558.5</v>
      </c>
      <c r="E36" s="294">
        <f>'Segregated wastage'!F18</f>
        <v>3908</v>
      </c>
      <c r="F36" s="280">
        <f>'Segregated wastage'!G18</f>
        <v>14985.3</v>
      </c>
      <c r="G36" s="280">
        <f>'Segregated wastage'!H18</f>
        <v>2986</v>
      </c>
      <c r="H36" s="280">
        <f>'Segregated wastage'!Q18</f>
        <v>390</v>
      </c>
      <c r="I36" s="287">
        <v>0</v>
      </c>
      <c r="J36" s="280">
        <f>'Segregated wastage'!I18</f>
        <v>30532</v>
      </c>
      <c r="K36" s="101">
        <f t="shared" si="13"/>
        <v>58149.8</v>
      </c>
    </row>
    <row r="37" spans="2:13" ht="18.75" thickBot="1">
      <c r="B37" s="12" t="s">
        <v>334</v>
      </c>
      <c r="C37" s="98">
        <f>IF(SUM(C25:C36)=0,"",SUM(C25:C36))</f>
        <v>48143.700000000004</v>
      </c>
      <c r="D37" s="98">
        <f t="shared" ref="D37" si="14">IF(SUM(D25:D36)=0,"",SUM(D25:D36))</f>
        <v>33659</v>
      </c>
      <c r="E37" s="98">
        <f t="shared" ref="E37:F37" si="15">IF(SUM(E25:E36)=0,"",SUM(E25:E36))</f>
        <v>59813</v>
      </c>
      <c r="F37" s="98">
        <f t="shared" si="15"/>
        <v>178292.2</v>
      </c>
      <c r="G37" s="98">
        <f t="shared" ref="G37" si="16">IF(SUM(G25:G36)=0,"",SUM(G25:G36))</f>
        <v>20676.25</v>
      </c>
      <c r="H37" s="98">
        <f t="shared" ref="H37:I37" si="17">IF(SUM(H25:H36)=0,"",SUM(H25:H36))</f>
        <v>3495.5</v>
      </c>
      <c r="I37" s="98" t="str">
        <f t="shared" si="17"/>
        <v/>
      </c>
      <c r="J37" s="98">
        <f t="shared" ref="J37" si="18">IF(SUM(J25:J36)=0,"",SUM(J25:J36))</f>
        <v>205388</v>
      </c>
      <c r="K37" s="98">
        <f t="shared" ref="K37" si="19">IF(SUM(K25:K36)=0,"",SUM(K25:K36))</f>
        <v>549467.65</v>
      </c>
    </row>
    <row r="38" spans="2:13" ht="18.75" thickBot="1">
      <c r="B38" s="12" t="s">
        <v>335</v>
      </c>
      <c r="C38" s="98">
        <f>IFERROR(AVERAGE(C25:C36),"")</f>
        <v>4011.9750000000004</v>
      </c>
      <c r="D38" s="98">
        <f t="shared" ref="D38:F38" si="20">IFERROR(AVERAGE(D25:D36),"")</f>
        <v>2804.9166666666665</v>
      </c>
      <c r="E38" s="98">
        <f t="shared" si="20"/>
        <v>4984.416666666667</v>
      </c>
      <c r="F38" s="98">
        <f t="shared" si="20"/>
        <v>14857.683333333334</v>
      </c>
      <c r="G38" s="98">
        <f t="shared" ref="G38:K38" si="21">IFERROR(AVERAGE(G25:G36),"")</f>
        <v>1723.0208333333333</v>
      </c>
      <c r="H38" s="98">
        <f t="shared" si="21"/>
        <v>291.29166666666669</v>
      </c>
      <c r="I38" s="98">
        <f t="shared" si="21"/>
        <v>0</v>
      </c>
      <c r="J38" s="98">
        <f t="shared" si="21"/>
        <v>17115.666666666668</v>
      </c>
      <c r="K38" s="98">
        <f t="shared" si="21"/>
        <v>45788.970833333333</v>
      </c>
    </row>
    <row r="40" spans="2:13" ht="17.25" thickBot="1"/>
    <row r="41" spans="2:13" ht="21.75" thickBot="1">
      <c r="B41" s="2007" t="s">
        <v>121</v>
      </c>
      <c r="C41" s="1934" t="s">
        <v>482</v>
      </c>
      <c r="D41" s="1935"/>
      <c r="E41" s="1935"/>
      <c r="F41" s="1935"/>
      <c r="G41" s="1935"/>
      <c r="H41" s="1935"/>
      <c r="I41" s="1935"/>
      <c r="J41" s="1935"/>
      <c r="K41" s="1935"/>
      <c r="L41" s="1935"/>
      <c r="M41" s="1936"/>
    </row>
    <row r="42" spans="2:13" ht="54.75" thickBot="1">
      <c r="B42" s="2008"/>
      <c r="C42" s="45" t="s">
        <v>476</v>
      </c>
      <c r="D42" s="45" t="s">
        <v>221</v>
      </c>
      <c r="E42" s="45" t="s">
        <v>477</v>
      </c>
      <c r="F42" s="45" t="s">
        <v>479</v>
      </c>
      <c r="G42" s="45" t="s">
        <v>462</v>
      </c>
      <c r="H42" s="70" t="s">
        <v>465</v>
      </c>
      <c r="I42" s="70" t="s">
        <v>483</v>
      </c>
      <c r="J42" s="70" t="s">
        <v>484</v>
      </c>
      <c r="K42" s="70" t="s">
        <v>485</v>
      </c>
      <c r="L42" s="70" t="s">
        <v>486</v>
      </c>
      <c r="M42" s="70" t="s">
        <v>487</v>
      </c>
    </row>
    <row r="43" spans="2:13" ht="18">
      <c r="B43" s="108" t="s">
        <v>278</v>
      </c>
      <c r="C43" s="294">
        <f t="shared" ref="C43:E44" si="22">C25</f>
        <v>5979.5</v>
      </c>
      <c r="D43" s="294">
        <f t="shared" si="22"/>
        <v>5040</v>
      </c>
      <c r="E43" s="294">
        <f t="shared" si="22"/>
        <v>6411.8</v>
      </c>
      <c r="F43" s="294">
        <f>G25</f>
        <v>0</v>
      </c>
      <c r="G43" s="294">
        <v>0</v>
      </c>
      <c r="H43" s="294">
        <v>0</v>
      </c>
      <c r="I43" s="294">
        <v>0</v>
      </c>
      <c r="J43" s="294">
        <f>J25</f>
        <v>9000</v>
      </c>
      <c r="K43" s="294">
        <v>0</v>
      </c>
      <c r="L43" s="294">
        <f>F25</f>
        <v>8853.2999999999993</v>
      </c>
      <c r="M43" s="99">
        <f t="shared" ref="M43:M54" si="23">IF(SUM(L43,C43:J43)=0,"",SUM(L43,C43:J43))</f>
        <v>35284.6</v>
      </c>
    </row>
    <row r="44" spans="2:13" ht="18">
      <c r="B44" s="10" t="s">
        <v>279</v>
      </c>
      <c r="C44" s="280">
        <f t="shared" si="22"/>
        <v>4480.1000000000004</v>
      </c>
      <c r="D44" s="280">
        <f t="shared" si="22"/>
        <v>2156.6999999999998</v>
      </c>
      <c r="E44" s="280">
        <f t="shared" si="22"/>
        <v>3640</v>
      </c>
      <c r="F44" s="280">
        <f>G26</f>
        <v>2199.6</v>
      </c>
      <c r="G44" s="280">
        <v>0</v>
      </c>
      <c r="H44" s="280">
        <v>0</v>
      </c>
      <c r="I44" s="280">
        <v>0</v>
      </c>
      <c r="J44" s="280">
        <f>J26</f>
        <v>9000</v>
      </c>
      <c r="K44" s="280">
        <v>0</v>
      </c>
      <c r="L44" s="294">
        <f t="shared" ref="L44:L49" si="24">F26</f>
        <v>9500</v>
      </c>
      <c r="M44" s="100">
        <f t="shared" si="23"/>
        <v>30976.399999999998</v>
      </c>
    </row>
    <row r="45" spans="2:13" ht="18">
      <c r="B45" s="10" t="s">
        <v>280</v>
      </c>
      <c r="C45" s="280">
        <f t="shared" ref="C45:E50" si="25">C27</f>
        <v>3473.7</v>
      </c>
      <c r="D45" s="280">
        <f t="shared" si="25"/>
        <v>6853.8</v>
      </c>
      <c r="E45" s="280">
        <f t="shared" si="25"/>
        <v>1904</v>
      </c>
      <c r="F45" s="280">
        <f t="shared" ref="F45:F49" si="26">G27</f>
        <v>1800</v>
      </c>
      <c r="G45" s="280">
        <v>0</v>
      </c>
      <c r="H45" s="280">
        <v>0</v>
      </c>
      <c r="I45" s="280">
        <v>0</v>
      </c>
      <c r="J45" s="280">
        <f t="shared" ref="J45:J50" si="27">J27</f>
        <v>12528</v>
      </c>
      <c r="K45" s="280">
        <v>0</v>
      </c>
      <c r="L45" s="294">
        <f t="shared" si="24"/>
        <v>7998.3</v>
      </c>
      <c r="M45" s="100">
        <f t="shared" si="23"/>
        <v>34557.800000000003</v>
      </c>
    </row>
    <row r="46" spans="2:13" ht="18">
      <c r="B46" s="10" t="s">
        <v>281</v>
      </c>
      <c r="C46" s="280">
        <f t="shared" si="25"/>
        <v>4894</v>
      </c>
      <c r="D46" s="280">
        <f t="shared" si="25"/>
        <v>6771.8</v>
      </c>
      <c r="E46" s="280">
        <f t="shared" si="25"/>
        <v>8276</v>
      </c>
      <c r="F46" s="280">
        <f t="shared" si="26"/>
        <v>1400</v>
      </c>
      <c r="G46" s="280">
        <v>0</v>
      </c>
      <c r="H46" s="280">
        <v>0</v>
      </c>
      <c r="I46" s="280">
        <v>0</v>
      </c>
      <c r="J46" s="280">
        <f t="shared" si="27"/>
        <v>17030</v>
      </c>
      <c r="K46" s="280">
        <v>0</v>
      </c>
      <c r="L46" s="294">
        <f t="shared" si="24"/>
        <v>8001</v>
      </c>
      <c r="M46" s="100">
        <f>IF(SUM(L46,C46:J46)=0,"",SUM(L46,C46:J46))</f>
        <v>46372.800000000003</v>
      </c>
    </row>
    <row r="47" spans="2:13" ht="18">
      <c r="B47" s="10" t="s">
        <v>132</v>
      </c>
      <c r="C47" s="280">
        <f t="shared" si="25"/>
        <v>3993.5</v>
      </c>
      <c r="D47" s="280">
        <f t="shared" si="25"/>
        <v>4920.3999999999996</v>
      </c>
      <c r="E47" s="280">
        <f t="shared" si="25"/>
        <v>6730.4</v>
      </c>
      <c r="F47" s="280">
        <f t="shared" si="26"/>
        <v>2200</v>
      </c>
      <c r="G47" s="280">
        <v>0</v>
      </c>
      <c r="H47" s="280">
        <v>0</v>
      </c>
      <c r="I47" s="280">
        <v>0</v>
      </c>
      <c r="J47" s="280">
        <f t="shared" si="27"/>
        <v>13882</v>
      </c>
      <c r="K47" s="280">
        <v>0</v>
      </c>
      <c r="L47" s="294">
        <f t="shared" si="24"/>
        <v>8994.6</v>
      </c>
      <c r="M47" s="100">
        <f t="shared" si="23"/>
        <v>40720.9</v>
      </c>
    </row>
    <row r="48" spans="2:13" ht="18">
      <c r="B48" s="10" t="s">
        <v>282</v>
      </c>
      <c r="C48" s="280">
        <f t="shared" si="25"/>
        <v>4202</v>
      </c>
      <c r="D48" s="280">
        <f t="shared" si="25"/>
        <v>2390.1</v>
      </c>
      <c r="E48" s="280">
        <f t="shared" si="25"/>
        <v>3616</v>
      </c>
      <c r="F48" s="280">
        <f t="shared" si="26"/>
        <v>2496</v>
      </c>
      <c r="G48" s="280">
        <v>0</v>
      </c>
      <c r="H48" s="280">
        <v>0</v>
      </c>
      <c r="I48" s="280">
        <v>0</v>
      </c>
      <c r="J48" s="280">
        <f t="shared" si="27"/>
        <v>24850</v>
      </c>
      <c r="K48" s="280">
        <v>0</v>
      </c>
      <c r="L48" s="294">
        <f t="shared" si="24"/>
        <v>17992</v>
      </c>
      <c r="M48" s="100">
        <f t="shared" si="23"/>
        <v>55546.1</v>
      </c>
    </row>
    <row r="49" spans="2:13" ht="18">
      <c r="B49" s="10" t="s">
        <v>283</v>
      </c>
      <c r="C49" s="280">
        <f t="shared" si="25"/>
        <v>4500.6000000000004</v>
      </c>
      <c r="D49" s="280">
        <f t="shared" si="25"/>
        <v>1196.9000000000001</v>
      </c>
      <c r="E49" s="280">
        <f t="shared" si="25"/>
        <v>4160</v>
      </c>
      <c r="F49" s="280">
        <f t="shared" si="26"/>
        <v>2400</v>
      </c>
      <c r="G49" s="280">
        <v>0</v>
      </c>
      <c r="H49" s="280">
        <v>0</v>
      </c>
      <c r="I49" s="280">
        <v>0</v>
      </c>
      <c r="J49" s="280">
        <f t="shared" si="27"/>
        <v>22966</v>
      </c>
      <c r="K49" s="280">
        <v>0</v>
      </c>
      <c r="L49" s="294">
        <f t="shared" si="24"/>
        <v>9100.1</v>
      </c>
      <c r="M49" s="100">
        <f t="shared" si="23"/>
        <v>44323.6</v>
      </c>
    </row>
    <row r="50" spans="2:13" ht="18">
      <c r="B50" s="10" t="s">
        <v>284</v>
      </c>
      <c r="C50" s="280">
        <f t="shared" si="25"/>
        <v>5597.2000000000007</v>
      </c>
      <c r="D50" s="280">
        <f t="shared" si="25"/>
        <v>1387.1999999999998</v>
      </c>
      <c r="E50" s="280">
        <f t="shared" si="25"/>
        <v>3728</v>
      </c>
      <c r="F50" s="280">
        <f t="shared" ref="F50" si="28">G32</f>
        <v>2499.1999999999998</v>
      </c>
      <c r="G50" s="280">
        <v>0</v>
      </c>
      <c r="H50" s="280">
        <v>0</v>
      </c>
      <c r="I50" s="280">
        <v>0</v>
      </c>
      <c r="J50" s="280">
        <f t="shared" si="27"/>
        <v>22606</v>
      </c>
      <c r="K50" s="280">
        <v>0</v>
      </c>
      <c r="L50" s="294">
        <f t="shared" ref="L50" si="29">F32</f>
        <v>18013.599999999999</v>
      </c>
      <c r="M50" s="100">
        <f t="shared" si="23"/>
        <v>53831.199999999997</v>
      </c>
    </row>
    <row r="51" spans="2:13" ht="18">
      <c r="B51" s="10" t="s">
        <v>285</v>
      </c>
      <c r="C51" s="280">
        <f t="shared" ref="C51:E54" si="30">C33</f>
        <v>3991</v>
      </c>
      <c r="D51" s="280">
        <f t="shared" si="30"/>
        <v>0</v>
      </c>
      <c r="E51" s="280">
        <f t="shared" si="30"/>
        <v>3808</v>
      </c>
      <c r="F51" s="280">
        <f>G33</f>
        <v>0</v>
      </c>
      <c r="G51" s="280">
        <v>0</v>
      </c>
      <c r="H51" s="280">
        <v>0</v>
      </c>
      <c r="I51" s="280">
        <v>0</v>
      </c>
      <c r="J51" s="280">
        <f>J33</f>
        <v>13782</v>
      </c>
      <c r="K51" s="280">
        <v>0</v>
      </c>
      <c r="L51" s="294">
        <f>F33</f>
        <v>29903.800000000003</v>
      </c>
      <c r="M51" s="100">
        <f t="shared" si="23"/>
        <v>51484.800000000003</v>
      </c>
    </row>
    <row r="52" spans="2:13" ht="18">
      <c r="B52" s="10" t="s">
        <v>286</v>
      </c>
      <c r="C52" s="280">
        <f t="shared" si="30"/>
        <v>3242.1000000000004</v>
      </c>
      <c r="D52" s="280">
        <f t="shared" si="30"/>
        <v>1283.5999999999999</v>
      </c>
      <c r="E52" s="280">
        <f t="shared" si="30"/>
        <v>3200</v>
      </c>
      <c r="F52" s="280">
        <f>G34</f>
        <v>0</v>
      </c>
      <c r="G52" s="280">
        <v>0</v>
      </c>
      <c r="H52" s="280">
        <v>0</v>
      </c>
      <c r="I52" s="280">
        <v>0</v>
      </c>
      <c r="J52" s="280">
        <f>J34</f>
        <v>15542</v>
      </c>
      <c r="K52" s="280">
        <v>0</v>
      </c>
      <c r="L52" s="294">
        <f>F34</f>
        <v>34964.5</v>
      </c>
      <c r="M52" s="100">
        <f t="shared" si="23"/>
        <v>58232.2</v>
      </c>
    </row>
    <row r="53" spans="2:13" ht="18">
      <c r="B53" s="10" t="s">
        <v>287</v>
      </c>
      <c r="C53" s="280">
        <f t="shared" si="30"/>
        <v>0</v>
      </c>
      <c r="D53" s="280">
        <f t="shared" si="30"/>
        <v>100</v>
      </c>
      <c r="E53" s="280">
        <f t="shared" si="30"/>
        <v>10430.800000000001</v>
      </c>
      <c r="F53" s="280">
        <f>G35</f>
        <v>2695.45</v>
      </c>
      <c r="G53" s="280">
        <v>0</v>
      </c>
      <c r="H53" s="280">
        <v>0</v>
      </c>
      <c r="I53" s="280">
        <v>0</v>
      </c>
      <c r="J53" s="280">
        <f>J35</f>
        <v>13670</v>
      </c>
      <c r="K53" s="280">
        <v>0</v>
      </c>
      <c r="L53" s="294">
        <f>F35</f>
        <v>9985.7000000000007</v>
      </c>
      <c r="M53" s="100">
        <f>IF(SUM(L53,C53:J53)=0,"",SUM(L53,C53:J53))</f>
        <v>36881.949999999997</v>
      </c>
    </row>
    <row r="54" spans="2:13" ht="18">
      <c r="B54" s="109" t="s">
        <v>288</v>
      </c>
      <c r="C54" s="280">
        <f t="shared" si="30"/>
        <v>3790</v>
      </c>
      <c r="D54" s="280">
        <f t="shared" si="30"/>
        <v>1558.5</v>
      </c>
      <c r="E54" s="280">
        <f t="shared" si="30"/>
        <v>3908</v>
      </c>
      <c r="F54" s="280">
        <f>G36</f>
        <v>2986</v>
      </c>
      <c r="G54" s="280">
        <v>0</v>
      </c>
      <c r="H54" s="280">
        <v>0</v>
      </c>
      <c r="I54" s="280">
        <v>0</v>
      </c>
      <c r="J54" s="280">
        <f>J36</f>
        <v>30532</v>
      </c>
      <c r="K54" s="280">
        <v>0</v>
      </c>
      <c r="L54" s="294">
        <f>F36</f>
        <v>14985.3</v>
      </c>
      <c r="M54" s="101">
        <f t="shared" si="23"/>
        <v>57759.8</v>
      </c>
    </row>
    <row r="55" spans="2:13" ht="18">
      <c r="B55" s="12" t="s">
        <v>334</v>
      </c>
      <c r="C55" s="98">
        <f t="shared" ref="C55:M55" si="31">IF(SUM(C43:C54)=0,"",SUM(C43:C54))</f>
        <v>48143.700000000004</v>
      </c>
      <c r="D55" s="98">
        <f t="shared" si="31"/>
        <v>33659</v>
      </c>
      <c r="E55" s="98">
        <f t="shared" si="31"/>
        <v>59813</v>
      </c>
      <c r="F55" s="98">
        <f t="shared" si="31"/>
        <v>20676.25</v>
      </c>
      <c r="G55" s="98" t="str">
        <f t="shared" si="31"/>
        <v/>
      </c>
      <c r="H55" s="98" t="str">
        <f t="shared" si="31"/>
        <v/>
      </c>
      <c r="I55" s="98" t="str">
        <f t="shared" si="31"/>
        <v/>
      </c>
      <c r="J55" s="98">
        <f>IF(SUM(J43:J53)=0,"",SUM(J43:J53))</f>
        <v>174856</v>
      </c>
      <c r="K55" s="98" t="str">
        <f t="shared" si="31"/>
        <v/>
      </c>
      <c r="L55" s="98">
        <f t="shared" si="31"/>
        <v>178292.2</v>
      </c>
      <c r="M55" s="98">
        <f t="shared" si="31"/>
        <v>545972.15</v>
      </c>
    </row>
    <row r="56" spans="2:13" ht="18.75" thickBot="1">
      <c r="B56" s="12" t="s">
        <v>335</v>
      </c>
      <c r="C56" s="98">
        <f t="shared" ref="C56:M56" si="32">IFERROR(AVERAGE(C43:C54),"")</f>
        <v>4011.9750000000004</v>
      </c>
      <c r="D56" s="98">
        <f t="shared" si="32"/>
        <v>2804.9166666666665</v>
      </c>
      <c r="E56" s="98">
        <f t="shared" si="32"/>
        <v>4984.416666666667</v>
      </c>
      <c r="F56" s="98">
        <f t="shared" si="32"/>
        <v>1723.0208333333333</v>
      </c>
      <c r="G56" s="98">
        <f t="shared" si="32"/>
        <v>0</v>
      </c>
      <c r="H56" s="98">
        <f t="shared" si="32"/>
        <v>0</v>
      </c>
      <c r="I56" s="98">
        <f t="shared" si="32"/>
        <v>0</v>
      </c>
      <c r="J56" s="98">
        <f>IFERROR(AVERAGE(J43:J53),"")</f>
        <v>15896</v>
      </c>
      <c r="K56" s="98">
        <f t="shared" si="32"/>
        <v>0</v>
      </c>
      <c r="L56" s="98">
        <f t="shared" si="32"/>
        <v>14857.683333333334</v>
      </c>
      <c r="M56" s="98">
        <f t="shared" si="32"/>
        <v>45497.679166666669</v>
      </c>
    </row>
    <row r="64" spans="2:13" ht="17.25" thickBot="1"/>
    <row r="65" spans="1:17" ht="21.75" thickBot="1">
      <c r="A65" s="2000">
        <v>2024</v>
      </c>
      <c r="B65" s="2007" t="s">
        <v>121</v>
      </c>
      <c r="C65" s="1934" t="s">
        <v>457</v>
      </c>
      <c r="D65" s="1935"/>
      <c r="E65" s="1935"/>
      <c r="F65" s="1935"/>
      <c r="G65" s="1935"/>
      <c r="H65" s="1935"/>
      <c r="I65" s="1935"/>
      <c r="J65" s="1936"/>
      <c r="K65" s="43"/>
      <c r="L65" s="2010" t="s">
        <v>458</v>
      </c>
      <c r="M65" s="43"/>
      <c r="N65" s="1934" t="s">
        <v>459</v>
      </c>
      <c r="O65" s="1935"/>
      <c r="P65" s="1935"/>
      <c r="Q65" s="1936"/>
    </row>
    <row r="66" spans="1:17" ht="54.75" thickBot="1">
      <c r="A66" s="2000"/>
      <c r="B66" s="2009"/>
      <c r="C66" s="63" t="s">
        <v>461</v>
      </c>
      <c r="D66" s="63" t="s">
        <v>462</v>
      </c>
      <c r="E66" s="63" t="s">
        <v>463</v>
      </c>
      <c r="F66" s="63" t="s">
        <v>464</v>
      </c>
      <c r="G66" s="68" t="s">
        <v>465</v>
      </c>
      <c r="H66" s="63" t="s">
        <v>466</v>
      </c>
      <c r="I66" s="63" t="s">
        <v>467</v>
      </c>
      <c r="J66" s="68" t="s">
        <v>468</v>
      </c>
      <c r="K66" s="44"/>
      <c r="L66" s="2011"/>
      <c r="M66" s="44"/>
      <c r="N66" s="63" t="s">
        <v>121</v>
      </c>
      <c r="O66" s="63" t="s">
        <v>469</v>
      </c>
      <c r="P66" s="63" t="s">
        <v>470</v>
      </c>
      <c r="Q66" s="63" t="s">
        <v>300</v>
      </c>
    </row>
    <row r="67" spans="1:17" ht="18">
      <c r="B67" s="10" t="s">
        <v>278</v>
      </c>
      <c r="C67" s="294"/>
      <c r="D67" s="294"/>
      <c r="E67" s="294"/>
      <c r="F67" s="294"/>
      <c r="G67" s="131"/>
      <c r="H67" s="294"/>
      <c r="I67" s="294"/>
      <c r="J67" s="99" t="str">
        <f>IF(SUM(C67:I67)=0,"",SUM(C67:I67))</f>
        <v/>
      </c>
      <c r="L67" s="99">
        <f>IF((SUM(K85,J67)/1000)=0,"",(SUM(K85,J67)/1000))</f>
        <v>43.484300000000005</v>
      </c>
      <c r="N67" s="9" t="s">
        <v>472</v>
      </c>
      <c r="O67" s="292">
        <f>'Food Wastage'!C21</f>
        <v>0</v>
      </c>
      <c r="P67" s="292">
        <f>'Food Wastage'!E21</f>
        <v>0</v>
      </c>
      <c r="Q67" s="105" t="str">
        <f>IFERROR(P67/O67,"")</f>
        <v/>
      </c>
    </row>
    <row r="68" spans="1:17" ht="21">
      <c r="A68" s="1685" t="s">
        <v>460</v>
      </c>
      <c r="B68" s="10" t="s">
        <v>279</v>
      </c>
      <c r="C68" s="280"/>
      <c r="D68" s="280"/>
      <c r="E68" s="280"/>
      <c r="F68" s="280"/>
      <c r="G68" s="137"/>
      <c r="H68" s="280"/>
      <c r="I68" s="280"/>
      <c r="J68" s="100" t="str">
        <f t="shared" ref="J68:J79" si="33">IF(SUM(C68:I68)=0,"",SUM(C68:I68))</f>
        <v/>
      </c>
      <c r="L68" s="100" t="str">
        <f t="shared" ref="L68:L78" si="34">IF((SUM(K86,J68)/1000)=0,"",(SUM(K86,J68)/1000))</f>
        <v/>
      </c>
      <c r="N68" s="10" t="s">
        <v>279</v>
      </c>
      <c r="O68" s="293">
        <f>'Food Wastage'!C22</f>
        <v>0</v>
      </c>
      <c r="P68" s="293">
        <f>'Food Wastage'!E22</f>
        <v>0</v>
      </c>
      <c r="Q68" s="103" t="str">
        <f t="shared" ref="Q68:Q79" si="35">IFERROR(P68/O68,"")</f>
        <v/>
      </c>
    </row>
    <row r="69" spans="1:17" ht="21">
      <c r="A69" s="1685" t="s">
        <v>471</v>
      </c>
      <c r="B69" s="10" t="s">
        <v>280</v>
      </c>
      <c r="C69" s="280"/>
      <c r="D69" s="280"/>
      <c r="E69" s="280"/>
      <c r="F69" s="280"/>
      <c r="G69" s="137"/>
      <c r="H69" s="280"/>
      <c r="I69" s="280"/>
      <c r="J69" s="100" t="str">
        <f t="shared" si="33"/>
        <v/>
      </c>
      <c r="L69" s="100" t="str">
        <f t="shared" si="34"/>
        <v/>
      </c>
      <c r="N69" s="10" t="s">
        <v>280</v>
      </c>
      <c r="O69" s="293">
        <f>'Food Wastage'!C23</f>
        <v>0</v>
      </c>
      <c r="P69" s="293">
        <f>'Food Wastage'!E23</f>
        <v>0</v>
      </c>
      <c r="Q69" s="103" t="str">
        <f t="shared" si="35"/>
        <v/>
      </c>
    </row>
    <row r="70" spans="1:17" ht="21">
      <c r="A70" s="1685" t="s">
        <v>473</v>
      </c>
      <c r="B70" s="10" t="s">
        <v>281</v>
      </c>
      <c r="C70" s="280"/>
      <c r="D70" s="280"/>
      <c r="E70" s="280"/>
      <c r="F70" s="280"/>
      <c r="G70" s="137"/>
      <c r="H70" s="280"/>
      <c r="I70" s="280"/>
      <c r="J70" s="100" t="str">
        <f t="shared" si="33"/>
        <v/>
      </c>
      <c r="L70" s="100" t="str">
        <f t="shared" si="34"/>
        <v/>
      </c>
      <c r="N70" s="10" t="s">
        <v>281</v>
      </c>
      <c r="O70" s="293">
        <f>'Food Wastage'!C24</f>
        <v>0</v>
      </c>
      <c r="P70" s="293">
        <f>'Food Wastage'!E24</f>
        <v>0</v>
      </c>
      <c r="Q70" s="103" t="str">
        <f t="shared" si="35"/>
        <v/>
      </c>
    </row>
    <row r="71" spans="1:17" ht="18">
      <c r="B71" s="10" t="s">
        <v>132</v>
      </c>
      <c r="C71" s="280"/>
      <c r="D71" s="280"/>
      <c r="E71" s="280"/>
      <c r="F71" s="280"/>
      <c r="G71" s="137"/>
      <c r="H71" s="280"/>
      <c r="I71" s="280"/>
      <c r="J71" s="100" t="str">
        <f t="shared" si="33"/>
        <v/>
      </c>
      <c r="L71" s="100" t="str">
        <f t="shared" si="34"/>
        <v/>
      </c>
      <c r="N71" s="10" t="s">
        <v>132</v>
      </c>
      <c r="O71" s="293">
        <f>'Food Wastage'!C25</f>
        <v>0</v>
      </c>
      <c r="P71" s="293">
        <f>'Food Wastage'!E25</f>
        <v>0</v>
      </c>
      <c r="Q71" s="103" t="str">
        <f t="shared" si="35"/>
        <v/>
      </c>
    </row>
    <row r="72" spans="1:17" ht="18">
      <c r="B72" s="10" t="s">
        <v>282</v>
      </c>
      <c r="C72" s="280"/>
      <c r="D72" s="280"/>
      <c r="E72" s="280"/>
      <c r="F72" s="280"/>
      <c r="G72" s="137"/>
      <c r="H72" s="280"/>
      <c r="I72" s="280"/>
      <c r="J72" s="100" t="str">
        <f t="shared" si="33"/>
        <v/>
      </c>
      <c r="L72" s="100" t="str">
        <f t="shared" si="34"/>
        <v/>
      </c>
      <c r="N72" s="10" t="s">
        <v>282</v>
      </c>
      <c r="O72" s="293">
        <f>'Food Wastage'!C26</f>
        <v>0</v>
      </c>
      <c r="P72" s="293">
        <f>'Food Wastage'!E26</f>
        <v>0</v>
      </c>
      <c r="Q72" s="103" t="str">
        <f t="shared" si="35"/>
        <v/>
      </c>
    </row>
    <row r="73" spans="1:17" ht="18">
      <c r="B73" s="10" t="s">
        <v>283</v>
      </c>
      <c r="C73" s="280"/>
      <c r="D73" s="280"/>
      <c r="E73" s="280"/>
      <c r="F73" s="280"/>
      <c r="G73" s="137"/>
      <c r="H73" s="280"/>
      <c r="I73" s="280"/>
      <c r="J73" s="100" t="str">
        <f t="shared" si="33"/>
        <v/>
      </c>
      <c r="L73" s="100" t="str">
        <f t="shared" si="34"/>
        <v/>
      </c>
      <c r="N73" s="10" t="s">
        <v>283</v>
      </c>
      <c r="O73" s="293">
        <f>'Food Wastage'!C27</f>
        <v>0</v>
      </c>
      <c r="P73" s="293">
        <f>'Food Wastage'!E27</f>
        <v>0</v>
      </c>
      <c r="Q73" s="103" t="str">
        <f t="shared" si="35"/>
        <v/>
      </c>
    </row>
    <row r="74" spans="1:17" ht="18">
      <c r="B74" s="10" t="s">
        <v>284</v>
      </c>
      <c r="C74" s="280"/>
      <c r="D74" s="280"/>
      <c r="E74" s="280"/>
      <c r="F74" s="280"/>
      <c r="G74" s="137"/>
      <c r="H74" s="280"/>
      <c r="I74" s="280"/>
      <c r="J74" s="100" t="str">
        <f t="shared" si="33"/>
        <v/>
      </c>
      <c r="L74" s="100" t="str">
        <f t="shared" si="34"/>
        <v/>
      </c>
      <c r="N74" s="10" t="s">
        <v>284</v>
      </c>
      <c r="O74" s="293">
        <f>'Food Wastage'!C28</f>
        <v>0</v>
      </c>
      <c r="P74" s="293">
        <f>'Food Wastage'!E28</f>
        <v>0</v>
      </c>
      <c r="Q74" s="103" t="str">
        <f t="shared" si="35"/>
        <v/>
      </c>
    </row>
    <row r="75" spans="1:17" ht="18">
      <c r="B75" s="10" t="s">
        <v>285</v>
      </c>
      <c r="C75" s="280"/>
      <c r="D75" s="280"/>
      <c r="E75" s="280"/>
      <c r="F75" s="280"/>
      <c r="G75" s="137"/>
      <c r="H75" s="280"/>
      <c r="I75" s="280"/>
      <c r="J75" s="100" t="str">
        <f t="shared" si="33"/>
        <v/>
      </c>
      <c r="L75" s="100" t="str">
        <f t="shared" si="34"/>
        <v/>
      </c>
      <c r="N75" s="10" t="s">
        <v>285</v>
      </c>
      <c r="O75" s="293">
        <f>'Food Wastage'!C29</f>
        <v>0</v>
      </c>
      <c r="P75" s="293">
        <f>'Food Wastage'!E29</f>
        <v>0</v>
      </c>
      <c r="Q75" s="103" t="str">
        <f t="shared" si="35"/>
        <v/>
      </c>
    </row>
    <row r="76" spans="1:17" ht="18">
      <c r="B76" s="10" t="s">
        <v>286</v>
      </c>
      <c r="C76" s="280"/>
      <c r="D76" s="280"/>
      <c r="E76" s="280"/>
      <c r="F76" s="280"/>
      <c r="G76" s="137"/>
      <c r="H76" s="280"/>
      <c r="I76" s="280"/>
      <c r="J76" s="100" t="str">
        <f t="shared" si="33"/>
        <v/>
      </c>
      <c r="L76" s="100" t="str">
        <f t="shared" si="34"/>
        <v/>
      </c>
      <c r="N76" s="10" t="s">
        <v>286</v>
      </c>
      <c r="O76" s="293">
        <f>'Food Wastage'!C30</f>
        <v>0</v>
      </c>
      <c r="P76" s="293">
        <f>'Food Wastage'!E30</f>
        <v>0</v>
      </c>
      <c r="Q76" s="103" t="str">
        <f t="shared" si="35"/>
        <v/>
      </c>
    </row>
    <row r="77" spans="1:17" ht="18">
      <c r="B77" s="10" t="s">
        <v>287</v>
      </c>
      <c r="C77" s="280"/>
      <c r="D77" s="280"/>
      <c r="E77" s="280"/>
      <c r="F77" s="280"/>
      <c r="G77" s="137"/>
      <c r="H77" s="280"/>
      <c r="I77" s="280"/>
      <c r="J77" s="100" t="str">
        <f t="shared" si="33"/>
        <v/>
      </c>
      <c r="L77" s="100" t="str">
        <f t="shared" si="34"/>
        <v/>
      </c>
      <c r="N77" s="10" t="s">
        <v>287</v>
      </c>
      <c r="O77" s="293">
        <f>'Food Wastage'!C31</f>
        <v>0</v>
      </c>
      <c r="P77" s="293">
        <f>'Food Wastage'!E31</f>
        <v>0</v>
      </c>
      <c r="Q77" s="103" t="str">
        <f t="shared" si="35"/>
        <v/>
      </c>
    </row>
    <row r="78" spans="1:17" ht="18.75" thickBot="1">
      <c r="B78" s="109" t="s">
        <v>288</v>
      </c>
      <c r="C78" s="280"/>
      <c r="D78" s="280"/>
      <c r="E78" s="280"/>
      <c r="F78" s="280"/>
      <c r="G78" s="137"/>
      <c r="H78" s="280"/>
      <c r="I78" s="280"/>
      <c r="J78" s="101" t="str">
        <f t="shared" si="33"/>
        <v/>
      </c>
      <c r="L78" s="101" t="str">
        <f t="shared" si="34"/>
        <v/>
      </c>
      <c r="N78" s="11" t="s">
        <v>288</v>
      </c>
      <c r="O78" s="293">
        <f>'Food Wastage'!C32</f>
        <v>0</v>
      </c>
      <c r="P78" s="293">
        <f>'Food Wastage'!E32</f>
        <v>0</v>
      </c>
      <c r="Q78" s="103" t="str">
        <f t="shared" si="35"/>
        <v/>
      </c>
    </row>
    <row r="79" spans="1:17" ht="18.75" thickBot="1">
      <c r="B79" s="12" t="s">
        <v>334</v>
      </c>
      <c r="C79" s="98" t="str">
        <f>IF(SUM(C67:C78)=0,"",SUM(C67:C78))</f>
        <v/>
      </c>
      <c r="D79" s="98" t="str">
        <f t="shared" ref="D79:I79" si="36">IF(SUM(D67:D78)=0,"",SUM(D67:D78))</f>
        <v/>
      </c>
      <c r="E79" s="98" t="str">
        <f t="shared" si="36"/>
        <v/>
      </c>
      <c r="F79" s="98" t="str">
        <f t="shared" si="36"/>
        <v/>
      </c>
      <c r="G79" s="98" t="str">
        <f t="shared" si="36"/>
        <v/>
      </c>
      <c r="H79" s="98" t="str">
        <f t="shared" si="36"/>
        <v/>
      </c>
      <c r="I79" s="98" t="str">
        <f t="shared" si="36"/>
        <v/>
      </c>
      <c r="J79" s="98" t="str">
        <f t="shared" si="33"/>
        <v/>
      </c>
      <c r="L79" s="98">
        <f>IF(SUM(L67:L78)=0,"",SUM(L67:L78))</f>
        <v>43.484300000000005</v>
      </c>
      <c r="N79" s="12" t="s">
        <v>334</v>
      </c>
      <c r="O79" s="98" t="str">
        <f t="shared" ref="O79:P79" si="37">IF(SUM(O67:O78)=0,"",SUM(O67:O78))</f>
        <v/>
      </c>
      <c r="P79" s="98" t="str">
        <f t="shared" si="37"/>
        <v/>
      </c>
      <c r="Q79" s="102" t="str">
        <f t="shared" si="35"/>
        <v/>
      </c>
    </row>
    <row r="80" spans="1:17" ht="18.75" thickBot="1">
      <c r="B80" s="12" t="s">
        <v>335</v>
      </c>
      <c r="C80" s="98" t="str">
        <f>IFERROR(AVERAGE(C67:C78),"")</f>
        <v/>
      </c>
      <c r="D80" s="98" t="str">
        <f t="shared" ref="D80:I80" si="38">IFERROR(AVERAGE(D67:D78),"")</f>
        <v/>
      </c>
      <c r="E80" s="98" t="str">
        <f t="shared" si="38"/>
        <v/>
      </c>
      <c r="F80" s="98" t="str">
        <f t="shared" si="38"/>
        <v/>
      </c>
      <c r="G80" s="98" t="str">
        <f t="shared" si="38"/>
        <v/>
      </c>
      <c r="H80" s="98" t="str">
        <f t="shared" si="38"/>
        <v/>
      </c>
      <c r="I80" s="98" t="str">
        <f t="shared" si="38"/>
        <v/>
      </c>
      <c r="J80" s="98" t="str">
        <f>IFERROR(AVERAGE(J67:J78),"")</f>
        <v/>
      </c>
      <c r="L80" s="98">
        <f t="shared" ref="L80" si="39">IFERROR(AVERAGE(L67:L78),"")</f>
        <v>43.484300000000005</v>
      </c>
      <c r="N80" s="12" t="s">
        <v>335</v>
      </c>
      <c r="O80" s="107">
        <f t="shared" ref="O80:P80" si="40">IFERROR(AVERAGE(O67:O78),"")</f>
        <v>0</v>
      </c>
      <c r="P80" s="107">
        <f t="shared" si="40"/>
        <v>0</v>
      </c>
      <c r="Q80" s="106"/>
    </row>
    <row r="82" spans="2:17" ht="17.25" thickBot="1"/>
    <row r="83" spans="2:17" ht="21.75" thickBot="1">
      <c r="B83" s="2007" t="s">
        <v>121</v>
      </c>
      <c r="C83" s="1934" t="s">
        <v>474</v>
      </c>
      <c r="D83" s="1935"/>
      <c r="E83" s="1935"/>
      <c r="F83" s="1935"/>
      <c r="G83" s="1935"/>
      <c r="H83" s="1935"/>
      <c r="I83" s="1935"/>
      <c r="J83" s="1936"/>
      <c r="K83" s="1997" t="s">
        <v>475</v>
      </c>
      <c r="L83" s="43"/>
      <c r="M83" s="43"/>
      <c r="N83" s="43"/>
      <c r="O83" s="43"/>
      <c r="P83" s="43"/>
      <c r="Q83" s="43"/>
    </row>
    <row r="84" spans="2:17" ht="36.75" thickBot="1">
      <c r="B84" s="2008"/>
      <c r="C84" s="45" t="s">
        <v>476</v>
      </c>
      <c r="D84" s="45" t="s">
        <v>221</v>
      </c>
      <c r="E84" s="45" t="s">
        <v>477</v>
      </c>
      <c r="F84" s="45" t="s">
        <v>478</v>
      </c>
      <c r="G84" s="45" t="s">
        <v>479</v>
      </c>
      <c r="H84" s="70" t="s">
        <v>480</v>
      </c>
      <c r="I84" s="70" t="s">
        <v>481</v>
      </c>
      <c r="J84" s="45" t="s">
        <v>467</v>
      </c>
      <c r="K84" s="1998"/>
    </row>
    <row r="85" spans="2:17" ht="18">
      <c r="B85" s="108" t="s">
        <v>278</v>
      </c>
      <c r="C85" s="294">
        <f>'Segregated wastage'!D27</f>
        <v>4537.7</v>
      </c>
      <c r="D85" s="294">
        <f>'Segregated wastage'!E27</f>
        <v>2504.5</v>
      </c>
      <c r="E85" s="294">
        <f>'Segregated wastage'!F27</f>
        <v>3908</v>
      </c>
      <c r="F85" s="294">
        <f>'Segregated wastage'!G27</f>
        <v>12433.1</v>
      </c>
      <c r="G85" s="294">
        <f>'Segregated wastage'!H27</f>
        <v>0</v>
      </c>
      <c r="H85" s="294">
        <f>'Segregated wastage'!Q27</f>
        <v>467</v>
      </c>
      <c r="I85" s="294">
        <v>0</v>
      </c>
      <c r="J85" s="294">
        <f>'Segregated wastage'!I27</f>
        <v>19634</v>
      </c>
      <c r="K85" s="99">
        <f>IF(SUM(C85:J85)=0,"",SUM(C85:J85))</f>
        <v>43484.3</v>
      </c>
    </row>
    <row r="86" spans="2:17" ht="18">
      <c r="B86" s="10" t="s">
        <v>279</v>
      </c>
      <c r="C86" s="280">
        <f>'Segregated wastage'!D28</f>
        <v>0</v>
      </c>
      <c r="D86" s="280">
        <f>'Segregated wastage'!E28</f>
        <v>0</v>
      </c>
      <c r="E86" s="294">
        <f>'Segregated wastage'!F28</f>
        <v>0</v>
      </c>
      <c r="F86" s="280">
        <f>'Segregated wastage'!G28</f>
        <v>0</v>
      </c>
      <c r="G86" s="280">
        <f>'Segregated wastage'!H28</f>
        <v>0</v>
      </c>
      <c r="H86" s="280">
        <f>'Segregated wastage'!Q28</f>
        <v>0</v>
      </c>
      <c r="I86" s="280">
        <v>0</v>
      </c>
      <c r="J86" s="280">
        <f>'Segregated wastage'!I28</f>
        <v>0</v>
      </c>
      <c r="K86" s="100" t="str">
        <f t="shared" ref="K86:K96" si="41">IF(SUM(C86:J86)=0,"",SUM(C86:J86))</f>
        <v/>
      </c>
    </row>
    <row r="87" spans="2:17" ht="18">
      <c r="B87" s="10" t="s">
        <v>280</v>
      </c>
      <c r="C87" s="280">
        <f>'Segregated wastage'!D29</f>
        <v>0</v>
      </c>
      <c r="D87" s="280">
        <f>'Segregated wastage'!E29</f>
        <v>0</v>
      </c>
      <c r="E87" s="294">
        <f>'Segregated wastage'!F29</f>
        <v>0</v>
      </c>
      <c r="F87" s="280">
        <f>'Segregated wastage'!G29</f>
        <v>0</v>
      </c>
      <c r="G87" s="280">
        <f>'Segregated wastage'!H29</f>
        <v>0</v>
      </c>
      <c r="H87" s="280">
        <f>'Segregated wastage'!Q29</f>
        <v>0</v>
      </c>
      <c r="I87" s="280">
        <v>0</v>
      </c>
      <c r="J87" s="280">
        <f>'Segregated wastage'!I29</f>
        <v>0</v>
      </c>
      <c r="K87" s="100" t="str">
        <f t="shared" si="41"/>
        <v/>
      </c>
    </row>
    <row r="88" spans="2:17" ht="18">
      <c r="B88" s="10" t="s">
        <v>281</v>
      </c>
      <c r="C88" s="280">
        <f>'Segregated wastage'!D30</f>
        <v>0</v>
      </c>
      <c r="D88" s="280">
        <f>'Segregated wastage'!E30</f>
        <v>0</v>
      </c>
      <c r="E88" s="294">
        <f>'Segregated wastage'!F30</f>
        <v>0</v>
      </c>
      <c r="F88" s="280">
        <f>'Segregated wastage'!G30</f>
        <v>0</v>
      </c>
      <c r="G88" s="280">
        <f>'Segregated wastage'!H30</f>
        <v>0</v>
      </c>
      <c r="H88" s="280">
        <f>'Segregated wastage'!Q30</f>
        <v>0</v>
      </c>
      <c r="I88" s="280">
        <v>0</v>
      </c>
      <c r="J88" s="280">
        <f>'Segregated wastage'!I30</f>
        <v>0</v>
      </c>
      <c r="K88" s="100" t="str">
        <f t="shared" si="41"/>
        <v/>
      </c>
    </row>
    <row r="89" spans="2:17" ht="18">
      <c r="B89" s="10" t="s">
        <v>132</v>
      </c>
      <c r="C89" s="280">
        <f>'Segregated wastage'!D31</f>
        <v>0</v>
      </c>
      <c r="D89" s="280">
        <f>'Segregated wastage'!E31</f>
        <v>0</v>
      </c>
      <c r="E89" s="294">
        <f>'Segregated wastage'!F31</f>
        <v>0</v>
      </c>
      <c r="F89" s="280">
        <f>'Segregated wastage'!G31</f>
        <v>0</v>
      </c>
      <c r="G89" s="280">
        <f>'Segregated wastage'!H31</f>
        <v>0</v>
      </c>
      <c r="H89" s="280">
        <f>'Segregated wastage'!Q31</f>
        <v>0</v>
      </c>
      <c r="I89" s="280">
        <v>0</v>
      </c>
      <c r="J89" s="280">
        <f>'Segregated wastage'!I31</f>
        <v>0</v>
      </c>
      <c r="K89" s="100" t="str">
        <f t="shared" si="41"/>
        <v/>
      </c>
    </row>
    <row r="90" spans="2:17" ht="18">
      <c r="B90" s="10" t="s">
        <v>282</v>
      </c>
      <c r="C90" s="280">
        <f>'Segregated wastage'!D32</f>
        <v>0</v>
      </c>
      <c r="D90" s="280">
        <f>'Segregated wastage'!E32</f>
        <v>0</v>
      </c>
      <c r="E90" s="294">
        <f>'Segregated wastage'!F32</f>
        <v>0</v>
      </c>
      <c r="F90" s="280">
        <f>'Segregated wastage'!G32</f>
        <v>0</v>
      </c>
      <c r="G90" s="280">
        <f>'Segregated wastage'!H32</f>
        <v>0</v>
      </c>
      <c r="H90" s="280">
        <f>'Segregated wastage'!Q32</f>
        <v>0</v>
      </c>
      <c r="I90" s="280">
        <v>0</v>
      </c>
      <c r="J90" s="280">
        <f>'Segregated wastage'!I32</f>
        <v>0</v>
      </c>
      <c r="K90" s="100" t="str">
        <f t="shared" si="41"/>
        <v/>
      </c>
    </row>
    <row r="91" spans="2:17" ht="18">
      <c r="B91" s="10" t="s">
        <v>283</v>
      </c>
      <c r="C91" s="280">
        <f>'Segregated wastage'!D33</f>
        <v>0</v>
      </c>
      <c r="D91" s="280">
        <f>'Segregated wastage'!E33</f>
        <v>0</v>
      </c>
      <c r="E91" s="294">
        <f>'Segregated wastage'!F33</f>
        <v>0</v>
      </c>
      <c r="F91" s="280">
        <f>'Segregated wastage'!G33</f>
        <v>0</v>
      </c>
      <c r="G91" s="280">
        <f>'Segregated wastage'!H33</f>
        <v>0</v>
      </c>
      <c r="H91" s="280">
        <f>'Segregated wastage'!Q33</f>
        <v>0</v>
      </c>
      <c r="I91" s="280">
        <v>0</v>
      </c>
      <c r="J91" s="280">
        <f>'Segregated wastage'!I33</f>
        <v>0</v>
      </c>
      <c r="K91" s="100" t="str">
        <f t="shared" si="41"/>
        <v/>
      </c>
    </row>
    <row r="92" spans="2:17" ht="18">
      <c r="B92" s="10" t="s">
        <v>284</v>
      </c>
      <c r="C92" s="280">
        <f>'Segregated wastage'!D34</f>
        <v>0</v>
      </c>
      <c r="D92" s="280">
        <f>'Segregated wastage'!E34</f>
        <v>0</v>
      </c>
      <c r="E92" s="294">
        <f>'Segregated wastage'!F34</f>
        <v>0</v>
      </c>
      <c r="F92" s="280">
        <f>'Segregated wastage'!G34</f>
        <v>0</v>
      </c>
      <c r="G92" s="280">
        <f>'Segregated wastage'!H34</f>
        <v>0</v>
      </c>
      <c r="H92" s="280">
        <f>'Segregated wastage'!Q34</f>
        <v>0</v>
      </c>
      <c r="I92" s="280">
        <v>0</v>
      </c>
      <c r="J92" s="280">
        <f>'Segregated wastage'!I34</f>
        <v>0</v>
      </c>
      <c r="K92" s="100" t="str">
        <f t="shared" si="41"/>
        <v/>
      </c>
    </row>
    <row r="93" spans="2:17" ht="18">
      <c r="B93" s="10" t="s">
        <v>285</v>
      </c>
      <c r="C93" s="280">
        <f>'Segregated wastage'!D35</f>
        <v>0</v>
      </c>
      <c r="D93" s="280">
        <f>'Segregated wastage'!E35</f>
        <v>0</v>
      </c>
      <c r="E93" s="294">
        <f>'Segregated wastage'!F35</f>
        <v>0</v>
      </c>
      <c r="F93" s="280">
        <f>'Segregated wastage'!G35</f>
        <v>0</v>
      </c>
      <c r="G93" s="280">
        <f>'Segregated wastage'!H35</f>
        <v>0</v>
      </c>
      <c r="H93" s="280">
        <f>'Segregated wastage'!Q35</f>
        <v>0</v>
      </c>
      <c r="I93" s="280">
        <v>0</v>
      </c>
      <c r="J93" s="280">
        <f>'Segregated wastage'!I35</f>
        <v>0</v>
      </c>
      <c r="K93" s="100" t="str">
        <f t="shared" si="41"/>
        <v/>
      </c>
    </row>
    <row r="94" spans="2:17" ht="18">
      <c r="B94" s="10" t="s">
        <v>286</v>
      </c>
      <c r="C94" s="280">
        <f>'Segregated wastage'!D36</f>
        <v>0</v>
      </c>
      <c r="D94" s="280">
        <f>'Segregated wastage'!E36</f>
        <v>0</v>
      </c>
      <c r="E94" s="294">
        <f>'Segregated wastage'!F36</f>
        <v>0</v>
      </c>
      <c r="F94" s="280">
        <f>'Segregated wastage'!G36</f>
        <v>0</v>
      </c>
      <c r="G94" s="280">
        <f>'Segregated wastage'!H36</f>
        <v>0</v>
      </c>
      <c r="H94" s="280">
        <f>'Segregated wastage'!Q36</f>
        <v>0</v>
      </c>
      <c r="I94" s="280">
        <v>0</v>
      </c>
      <c r="J94" s="280">
        <f>'Segregated wastage'!I36</f>
        <v>0</v>
      </c>
      <c r="K94" s="100" t="str">
        <f t="shared" si="41"/>
        <v/>
      </c>
    </row>
    <row r="95" spans="2:17" ht="18">
      <c r="B95" s="10" t="s">
        <v>287</v>
      </c>
      <c r="C95" s="280">
        <f>'Segregated wastage'!D37</f>
        <v>0</v>
      </c>
      <c r="D95" s="280">
        <f>'Segregated wastage'!E37</f>
        <v>0</v>
      </c>
      <c r="E95" s="294">
        <f>'Segregated wastage'!F37</f>
        <v>0</v>
      </c>
      <c r="F95" s="280">
        <f>'Segregated wastage'!G37</f>
        <v>0</v>
      </c>
      <c r="G95" s="280">
        <f>'Segregated wastage'!H37</f>
        <v>0</v>
      </c>
      <c r="H95" s="280">
        <f>'Segregated wastage'!Q37</f>
        <v>0</v>
      </c>
      <c r="I95" s="280">
        <v>0</v>
      </c>
      <c r="J95" s="280">
        <f>'Segregated wastage'!I37</f>
        <v>0</v>
      </c>
      <c r="K95" s="100" t="str">
        <f t="shared" si="41"/>
        <v/>
      </c>
    </row>
    <row r="96" spans="2:17" ht="18.75" thickBot="1">
      <c r="B96" s="109" t="s">
        <v>288</v>
      </c>
      <c r="C96" s="280">
        <f>'Segregated wastage'!D38</f>
        <v>0</v>
      </c>
      <c r="D96" s="280">
        <f>'Segregated wastage'!E38</f>
        <v>0</v>
      </c>
      <c r="E96" s="294">
        <f>'Segregated wastage'!F38</f>
        <v>0</v>
      </c>
      <c r="F96" s="280">
        <f>'Segregated wastage'!G38</f>
        <v>0</v>
      </c>
      <c r="G96" s="280">
        <f>'Segregated wastage'!H38</f>
        <v>0</v>
      </c>
      <c r="H96" s="280">
        <f>'Segregated wastage'!Q38</f>
        <v>0</v>
      </c>
      <c r="I96" s="287">
        <v>0</v>
      </c>
      <c r="J96" s="280">
        <f>'Segregated wastage'!I38</f>
        <v>0</v>
      </c>
      <c r="K96" s="101" t="str">
        <f t="shared" si="41"/>
        <v/>
      </c>
    </row>
    <row r="97" spans="2:13" ht="18.75" thickBot="1">
      <c r="B97" s="12" t="s">
        <v>334</v>
      </c>
      <c r="C97" s="98">
        <f>IF(SUM(C85:C96)=0,"",SUM(C85:C96))</f>
        <v>4537.7</v>
      </c>
      <c r="D97" s="98">
        <f t="shared" ref="D97:K97" si="42">IF(SUM(D85:D96)=0,"",SUM(D85:D96))</f>
        <v>2504.5</v>
      </c>
      <c r="E97" s="98">
        <f t="shared" si="42"/>
        <v>3908</v>
      </c>
      <c r="F97" s="98">
        <f t="shared" si="42"/>
        <v>12433.1</v>
      </c>
      <c r="G97" s="98" t="str">
        <f t="shared" si="42"/>
        <v/>
      </c>
      <c r="H97" s="98">
        <f t="shared" si="42"/>
        <v>467</v>
      </c>
      <c r="I97" s="98" t="str">
        <f t="shared" si="42"/>
        <v/>
      </c>
      <c r="J97" s="98">
        <f t="shared" si="42"/>
        <v>19634</v>
      </c>
      <c r="K97" s="98">
        <f t="shared" si="42"/>
        <v>43484.3</v>
      </c>
    </row>
    <row r="98" spans="2:13" ht="18.75" thickBot="1">
      <c r="B98" s="12" t="s">
        <v>335</v>
      </c>
      <c r="C98" s="98">
        <f>IFERROR(AVERAGE(C85:C96),"")</f>
        <v>378.14166666666665</v>
      </c>
      <c r="D98" s="98">
        <f t="shared" ref="D98:K98" si="43">IFERROR(AVERAGE(D85:D96),"")</f>
        <v>208.70833333333334</v>
      </c>
      <c r="E98" s="98">
        <f t="shared" si="43"/>
        <v>325.66666666666669</v>
      </c>
      <c r="F98" s="98">
        <f t="shared" si="43"/>
        <v>1036.0916666666667</v>
      </c>
      <c r="G98" s="98">
        <f t="shared" si="43"/>
        <v>0</v>
      </c>
      <c r="H98" s="98">
        <f t="shared" si="43"/>
        <v>38.916666666666664</v>
      </c>
      <c r="I98" s="98">
        <f t="shared" si="43"/>
        <v>0</v>
      </c>
      <c r="J98" s="98">
        <f t="shared" si="43"/>
        <v>1636.1666666666667</v>
      </c>
      <c r="K98" s="98">
        <f t="shared" si="43"/>
        <v>43484.3</v>
      </c>
    </row>
    <row r="100" spans="2:13" ht="17.25" thickBot="1"/>
    <row r="101" spans="2:13" ht="21.75" thickBot="1">
      <c r="B101" s="2007" t="s">
        <v>121</v>
      </c>
      <c r="C101" s="1934" t="s">
        <v>482</v>
      </c>
      <c r="D101" s="1935"/>
      <c r="E101" s="1935"/>
      <c r="F101" s="1935"/>
      <c r="G101" s="1935"/>
      <c r="H101" s="1935"/>
      <c r="I101" s="1935"/>
      <c r="J101" s="1935"/>
      <c r="K101" s="1935"/>
      <c r="L101" s="1935"/>
      <c r="M101" s="1936"/>
    </row>
    <row r="102" spans="2:13" ht="54.75" thickBot="1">
      <c r="B102" s="2008"/>
      <c r="C102" s="45" t="s">
        <v>476</v>
      </c>
      <c r="D102" s="45" t="s">
        <v>221</v>
      </c>
      <c r="E102" s="45" t="s">
        <v>477</v>
      </c>
      <c r="F102" s="45" t="s">
        <v>479</v>
      </c>
      <c r="G102" s="45" t="s">
        <v>462</v>
      </c>
      <c r="H102" s="70" t="s">
        <v>465</v>
      </c>
      <c r="I102" s="70" t="s">
        <v>483</v>
      </c>
      <c r="J102" s="70" t="s">
        <v>484</v>
      </c>
      <c r="K102" s="70" t="s">
        <v>485</v>
      </c>
      <c r="L102" s="70" t="s">
        <v>486</v>
      </c>
      <c r="M102" s="70" t="s">
        <v>487</v>
      </c>
    </row>
    <row r="103" spans="2:13" ht="18">
      <c r="B103" s="108" t="s">
        <v>278</v>
      </c>
      <c r="C103" s="294">
        <f t="shared" ref="C103:E103" si="44">C85</f>
        <v>4537.7</v>
      </c>
      <c r="D103" s="294">
        <f t="shared" si="44"/>
        <v>2504.5</v>
      </c>
      <c r="E103" s="294">
        <f t="shared" si="44"/>
        <v>3908</v>
      </c>
      <c r="F103" s="294">
        <f>G85</f>
        <v>0</v>
      </c>
      <c r="G103" s="294">
        <v>0</v>
      </c>
      <c r="H103" s="294">
        <v>0</v>
      </c>
      <c r="I103" s="294">
        <v>0</v>
      </c>
      <c r="J103" s="294">
        <f>J85</f>
        <v>19634</v>
      </c>
      <c r="K103" s="294">
        <v>0</v>
      </c>
      <c r="L103" s="294">
        <f>F85</f>
        <v>12433.1</v>
      </c>
      <c r="M103" s="99">
        <f t="shared" ref="M103:M105" si="45">IF(SUM(L103,C103:J103)=0,"",SUM(L103,C103:J103))</f>
        <v>43017.3</v>
      </c>
    </row>
    <row r="104" spans="2:13" ht="18">
      <c r="B104" s="10" t="s">
        <v>279</v>
      </c>
      <c r="C104" s="280">
        <f t="shared" ref="C104:E104" si="46">C86</f>
        <v>0</v>
      </c>
      <c r="D104" s="280">
        <f t="shared" si="46"/>
        <v>0</v>
      </c>
      <c r="E104" s="280">
        <f t="shared" si="46"/>
        <v>0</v>
      </c>
      <c r="F104" s="280">
        <f>G86</f>
        <v>0</v>
      </c>
      <c r="G104" s="280">
        <v>0</v>
      </c>
      <c r="H104" s="280">
        <v>0</v>
      </c>
      <c r="I104" s="280">
        <v>0</v>
      </c>
      <c r="J104" s="280">
        <f>J86</f>
        <v>0</v>
      </c>
      <c r="K104" s="280">
        <v>0</v>
      </c>
      <c r="L104" s="294">
        <f t="shared" ref="L104:L110" si="47">F86</f>
        <v>0</v>
      </c>
      <c r="M104" s="100" t="str">
        <f t="shared" si="45"/>
        <v/>
      </c>
    </row>
    <row r="105" spans="2:13" ht="18">
      <c r="B105" s="10" t="s">
        <v>280</v>
      </c>
      <c r="C105" s="280">
        <f t="shared" ref="C105:E105" si="48">C87</f>
        <v>0</v>
      </c>
      <c r="D105" s="280">
        <f t="shared" si="48"/>
        <v>0</v>
      </c>
      <c r="E105" s="280">
        <f t="shared" si="48"/>
        <v>0</v>
      </c>
      <c r="F105" s="280">
        <f t="shared" ref="F105:F110" si="49">G87</f>
        <v>0</v>
      </c>
      <c r="G105" s="280">
        <v>0</v>
      </c>
      <c r="H105" s="280">
        <v>0</v>
      </c>
      <c r="I105" s="280">
        <v>0</v>
      </c>
      <c r="J105" s="280">
        <f t="shared" ref="J105:J110" si="50">J87</f>
        <v>0</v>
      </c>
      <c r="K105" s="280">
        <v>0</v>
      </c>
      <c r="L105" s="294">
        <f t="shared" si="47"/>
        <v>0</v>
      </c>
      <c r="M105" s="100" t="str">
        <f t="shared" si="45"/>
        <v/>
      </c>
    </row>
    <row r="106" spans="2:13" ht="18">
      <c r="B106" s="10" t="s">
        <v>281</v>
      </c>
      <c r="C106" s="280">
        <f t="shared" ref="C106:E106" si="51">C88</f>
        <v>0</v>
      </c>
      <c r="D106" s="280">
        <f t="shared" si="51"/>
        <v>0</v>
      </c>
      <c r="E106" s="280">
        <f t="shared" si="51"/>
        <v>0</v>
      </c>
      <c r="F106" s="280">
        <f t="shared" si="49"/>
        <v>0</v>
      </c>
      <c r="G106" s="280">
        <v>0</v>
      </c>
      <c r="H106" s="280">
        <v>0</v>
      </c>
      <c r="I106" s="280">
        <v>0</v>
      </c>
      <c r="J106" s="280">
        <f t="shared" si="50"/>
        <v>0</v>
      </c>
      <c r="K106" s="280">
        <v>0</v>
      </c>
      <c r="L106" s="294">
        <f t="shared" si="47"/>
        <v>0</v>
      </c>
      <c r="M106" s="100" t="str">
        <f>IF(SUM(L106,C106:J106)=0,"",SUM(L106,C106:J106))</f>
        <v/>
      </c>
    </row>
    <row r="107" spans="2:13" ht="18">
      <c r="B107" s="10" t="s">
        <v>132</v>
      </c>
      <c r="C107" s="280">
        <f t="shared" ref="C107:E107" si="52">C89</f>
        <v>0</v>
      </c>
      <c r="D107" s="280">
        <f t="shared" si="52"/>
        <v>0</v>
      </c>
      <c r="E107" s="280">
        <f t="shared" si="52"/>
        <v>0</v>
      </c>
      <c r="F107" s="280">
        <f t="shared" si="49"/>
        <v>0</v>
      </c>
      <c r="G107" s="280">
        <v>0</v>
      </c>
      <c r="H107" s="280">
        <v>0</v>
      </c>
      <c r="I107" s="280">
        <v>0</v>
      </c>
      <c r="J107" s="280">
        <f t="shared" si="50"/>
        <v>0</v>
      </c>
      <c r="K107" s="280">
        <v>0</v>
      </c>
      <c r="L107" s="294">
        <f t="shared" si="47"/>
        <v>0</v>
      </c>
      <c r="M107" s="100" t="str">
        <f t="shared" ref="M107:M112" si="53">IF(SUM(L107,C107:J107)=0,"",SUM(L107,C107:J107))</f>
        <v/>
      </c>
    </row>
    <row r="108" spans="2:13" ht="18">
      <c r="B108" s="10" t="s">
        <v>282</v>
      </c>
      <c r="C108" s="280">
        <f t="shared" ref="C108:E108" si="54">C90</f>
        <v>0</v>
      </c>
      <c r="D108" s="280">
        <f t="shared" si="54"/>
        <v>0</v>
      </c>
      <c r="E108" s="280">
        <f t="shared" si="54"/>
        <v>0</v>
      </c>
      <c r="F108" s="280">
        <f t="shared" si="49"/>
        <v>0</v>
      </c>
      <c r="G108" s="280">
        <v>0</v>
      </c>
      <c r="H108" s="280">
        <v>0</v>
      </c>
      <c r="I108" s="280">
        <v>0</v>
      </c>
      <c r="J108" s="280">
        <f t="shared" si="50"/>
        <v>0</v>
      </c>
      <c r="K108" s="280">
        <v>0</v>
      </c>
      <c r="L108" s="294">
        <f t="shared" si="47"/>
        <v>0</v>
      </c>
      <c r="M108" s="100" t="str">
        <f t="shared" si="53"/>
        <v/>
      </c>
    </row>
    <row r="109" spans="2:13" ht="18">
      <c r="B109" s="10" t="s">
        <v>283</v>
      </c>
      <c r="C109" s="280">
        <f t="shared" ref="C109:E109" si="55">C91</f>
        <v>0</v>
      </c>
      <c r="D109" s="280">
        <f t="shared" si="55"/>
        <v>0</v>
      </c>
      <c r="E109" s="280">
        <f t="shared" si="55"/>
        <v>0</v>
      </c>
      <c r="F109" s="280">
        <f t="shared" si="49"/>
        <v>0</v>
      </c>
      <c r="G109" s="280">
        <v>0</v>
      </c>
      <c r="H109" s="280">
        <v>0</v>
      </c>
      <c r="I109" s="280">
        <v>0</v>
      </c>
      <c r="J109" s="280">
        <f t="shared" si="50"/>
        <v>0</v>
      </c>
      <c r="K109" s="280">
        <v>0</v>
      </c>
      <c r="L109" s="294">
        <f t="shared" si="47"/>
        <v>0</v>
      </c>
      <c r="M109" s="100" t="str">
        <f t="shared" si="53"/>
        <v/>
      </c>
    </row>
    <row r="110" spans="2:13" ht="18">
      <c r="B110" s="10" t="s">
        <v>284</v>
      </c>
      <c r="C110" s="280">
        <f t="shared" ref="C110:E110" si="56">C92</f>
        <v>0</v>
      </c>
      <c r="D110" s="280">
        <f t="shared" si="56"/>
        <v>0</v>
      </c>
      <c r="E110" s="280">
        <f t="shared" si="56"/>
        <v>0</v>
      </c>
      <c r="F110" s="280">
        <f t="shared" si="49"/>
        <v>0</v>
      </c>
      <c r="G110" s="280">
        <v>0</v>
      </c>
      <c r="H110" s="280">
        <v>0</v>
      </c>
      <c r="I110" s="280">
        <v>0</v>
      </c>
      <c r="J110" s="280">
        <f t="shared" si="50"/>
        <v>0</v>
      </c>
      <c r="K110" s="280">
        <v>0</v>
      </c>
      <c r="L110" s="294">
        <f t="shared" si="47"/>
        <v>0</v>
      </c>
      <c r="M110" s="100" t="str">
        <f t="shared" si="53"/>
        <v/>
      </c>
    </row>
    <row r="111" spans="2:13" ht="18">
      <c r="B111" s="10" t="s">
        <v>285</v>
      </c>
      <c r="C111" s="280">
        <f t="shared" ref="C111:E111" si="57">C93</f>
        <v>0</v>
      </c>
      <c r="D111" s="280">
        <f t="shared" si="57"/>
        <v>0</v>
      </c>
      <c r="E111" s="280">
        <f t="shared" si="57"/>
        <v>0</v>
      </c>
      <c r="F111" s="280">
        <f>G93</f>
        <v>0</v>
      </c>
      <c r="G111" s="280">
        <v>0</v>
      </c>
      <c r="H111" s="280">
        <v>0</v>
      </c>
      <c r="I111" s="280">
        <v>0</v>
      </c>
      <c r="J111" s="280">
        <f>J93</f>
        <v>0</v>
      </c>
      <c r="K111" s="280">
        <v>0</v>
      </c>
      <c r="L111" s="294">
        <f>F93</f>
        <v>0</v>
      </c>
      <c r="M111" s="100" t="str">
        <f t="shared" si="53"/>
        <v/>
      </c>
    </row>
    <row r="112" spans="2:13" ht="18">
      <c r="B112" s="10" t="s">
        <v>286</v>
      </c>
      <c r="C112" s="280">
        <f t="shared" ref="C112:E112" si="58">C94</f>
        <v>0</v>
      </c>
      <c r="D112" s="280">
        <f t="shared" si="58"/>
        <v>0</v>
      </c>
      <c r="E112" s="280">
        <f t="shared" si="58"/>
        <v>0</v>
      </c>
      <c r="F112" s="280">
        <f>G94</f>
        <v>0</v>
      </c>
      <c r="G112" s="280">
        <v>0</v>
      </c>
      <c r="H112" s="280">
        <v>0</v>
      </c>
      <c r="I112" s="280">
        <v>0</v>
      </c>
      <c r="J112" s="280">
        <f>J94</f>
        <v>0</v>
      </c>
      <c r="K112" s="280">
        <v>0</v>
      </c>
      <c r="L112" s="294">
        <f>F94</f>
        <v>0</v>
      </c>
      <c r="M112" s="100" t="str">
        <f t="shared" si="53"/>
        <v/>
      </c>
    </row>
    <row r="113" spans="2:13" ht="18">
      <c r="B113" s="10" t="s">
        <v>287</v>
      </c>
      <c r="C113" s="280">
        <f t="shared" ref="C113:E114" si="59">C95</f>
        <v>0</v>
      </c>
      <c r="D113" s="280">
        <f t="shared" si="59"/>
        <v>0</v>
      </c>
      <c r="E113" s="280">
        <f t="shared" si="59"/>
        <v>0</v>
      </c>
      <c r="F113" s="280">
        <f>G95</f>
        <v>0</v>
      </c>
      <c r="G113" s="280">
        <v>0</v>
      </c>
      <c r="H113" s="280">
        <v>0</v>
      </c>
      <c r="I113" s="280">
        <v>0</v>
      </c>
      <c r="J113" s="280">
        <f>J95</f>
        <v>0</v>
      </c>
      <c r="K113" s="280">
        <v>0</v>
      </c>
      <c r="L113" s="294">
        <f>F95</f>
        <v>0</v>
      </c>
      <c r="M113" s="100" t="str">
        <f>IF(SUM(L113,C113:J113)=0,"",SUM(L113,C113:J113))</f>
        <v/>
      </c>
    </row>
    <row r="114" spans="2:13" ht="18.75" thickBot="1">
      <c r="B114" s="109" t="s">
        <v>288</v>
      </c>
      <c r="C114" s="280">
        <f t="shared" si="59"/>
        <v>0</v>
      </c>
      <c r="D114" s="280">
        <f t="shared" si="59"/>
        <v>0</v>
      </c>
      <c r="E114" s="280">
        <f t="shared" si="59"/>
        <v>0</v>
      </c>
      <c r="F114" s="280">
        <f>G96</f>
        <v>0</v>
      </c>
      <c r="G114" s="280">
        <v>0</v>
      </c>
      <c r="H114" s="280">
        <v>0</v>
      </c>
      <c r="I114" s="280">
        <v>0</v>
      </c>
      <c r="J114" s="280">
        <f>J96</f>
        <v>0</v>
      </c>
      <c r="K114" s="280">
        <v>0</v>
      </c>
      <c r="L114" s="294">
        <f>F96</f>
        <v>0</v>
      </c>
      <c r="M114" s="101" t="str">
        <f t="shared" ref="M114" si="60">IF(SUM(L114,C114:J114)=0,"",SUM(L114,C114:J114))</f>
        <v/>
      </c>
    </row>
    <row r="115" spans="2:13" ht="18.75" thickBot="1">
      <c r="B115" s="12" t="s">
        <v>334</v>
      </c>
      <c r="C115" s="98">
        <f t="shared" ref="C115:I115" si="61">IF(SUM(C103:C114)=0,"",SUM(C103:C114))</f>
        <v>4537.7</v>
      </c>
      <c r="D115" s="98">
        <f t="shared" si="61"/>
        <v>2504.5</v>
      </c>
      <c r="E115" s="98">
        <f t="shared" si="61"/>
        <v>3908</v>
      </c>
      <c r="F115" s="98" t="str">
        <f t="shared" si="61"/>
        <v/>
      </c>
      <c r="G115" s="98" t="str">
        <f t="shared" si="61"/>
        <v/>
      </c>
      <c r="H115" s="98" t="str">
        <f t="shared" si="61"/>
        <v/>
      </c>
      <c r="I115" s="98" t="str">
        <f t="shared" si="61"/>
        <v/>
      </c>
      <c r="J115" s="98">
        <f>IF(SUM(J103:J113)=0,"",SUM(J103:J113))</f>
        <v>19634</v>
      </c>
      <c r="K115" s="98" t="str">
        <f t="shared" ref="K115:M115" si="62">IF(SUM(K103:K114)=0,"",SUM(K103:K114))</f>
        <v/>
      </c>
      <c r="L115" s="98">
        <f t="shared" si="62"/>
        <v>12433.1</v>
      </c>
      <c r="M115" s="98">
        <f t="shared" si="62"/>
        <v>43017.3</v>
      </c>
    </row>
    <row r="116" spans="2:13" ht="18.75" thickBot="1">
      <c r="B116" s="12" t="s">
        <v>335</v>
      </c>
      <c r="C116" s="98">
        <f t="shared" ref="C116:I116" si="63">IFERROR(AVERAGE(C103:C114),"")</f>
        <v>378.14166666666665</v>
      </c>
      <c r="D116" s="98">
        <f t="shared" si="63"/>
        <v>208.70833333333334</v>
      </c>
      <c r="E116" s="98">
        <f t="shared" si="63"/>
        <v>325.66666666666669</v>
      </c>
      <c r="F116" s="98">
        <f t="shared" si="63"/>
        <v>0</v>
      </c>
      <c r="G116" s="98">
        <f t="shared" si="63"/>
        <v>0</v>
      </c>
      <c r="H116" s="98">
        <f t="shared" si="63"/>
        <v>0</v>
      </c>
      <c r="I116" s="98">
        <f t="shared" si="63"/>
        <v>0</v>
      </c>
      <c r="J116" s="98">
        <f>IFERROR(AVERAGE(J103:J113),"")</f>
        <v>1784.909090909091</v>
      </c>
      <c r="K116" s="98">
        <f t="shared" ref="K116:M116" si="64">IFERROR(AVERAGE(K103:K114),"")</f>
        <v>0</v>
      </c>
      <c r="L116" s="98">
        <f t="shared" si="64"/>
        <v>1036.0916666666667</v>
      </c>
      <c r="M116" s="98">
        <f t="shared" si="64"/>
        <v>43017.3</v>
      </c>
    </row>
  </sheetData>
  <mergeCells count="20">
    <mergeCell ref="N5:Q5"/>
    <mergeCell ref="K23:K24"/>
    <mergeCell ref="C23:J23"/>
    <mergeCell ref="L5:L6"/>
    <mergeCell ref="C5:J5"/>
    <mergeCell ref="A4:A5"/>
    <mergeCell ref="A65:A66"/>
    <mergeCell ref="B65:B66"/>
    <mergeCell ref="C65:J65"/>
    <mergeCell ref="L65:L66"/>
    <mergeCell ref="B23:B24"/>
    <mergeCell ref="B5:B6"/>
    <mergeCell ref="B41:B42"/>
    <mergeCell ref="C41:M41"/>
    <mergeCell ref="N65:Q65"/>
    <mergeCell ref="B83:B84"/>
    <mergeCell ref="C83:J83"/>
    <mergeCell ref="K83:K84"/>
    <mergeCell ref="B101:B102"/>
    <mergeCell ref="C101:M101"/>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C740E-C9C1-40D5-9B04-2F2FBA3AF7E3}">
  <dimension ref="A1:U82"/>
  <sheetViews>
    <sheetView showGridLines="0" zoomScale="85" zoomScaleNormal="85" workbookViewId="0">
      <pane xSplit="1" ySplit="3" topLeftCell="B4" activePane="bottomRight" state="frozen"/>
      <selection pane="topRight" activeCell="B1" sqref="B1"/>
      <selection pane="bottomLeft" activeCell="A4" sqref="A4"/>
      <selection pane="bottomRight" activeCell="P46" sqref="P46"/>
    </sheetView>
  </sheetViews>
  <sheetFormatPr defaultColWidth="14.85546875" defaultRowHeight="16.5"/>
  <cols>
    <col min="1" max="1" width="34.7109375" style="41" customWidth="1"/>
    <col min="2" max="2" width="7.85546875" style="41" bestFit="1" customWidth="1"/>
    <col min="3" max="5" width="14.85546875" style="41"/>
    <col min="6" max="6" width="15.42578125" style="41" bestFit="1" customWidth="1"/>
    <col min="7" max="11" width="14.85546875" style="41"/>
    <col min="12" max="12" width="15.85546875" style="41" bestFit="1" customWidth="1"/>
    <col min="13" max="20" width="14.85546875" style="41"/>
    <col min="21" max="21" width="29.7109375" style="41" customWidth="1"/>
    <col min="22" max="16384" width="14.85546875" style="41"/>
  </cols>
  <sheetData>
    <row r="1" spans="1:20" ht="40.5" customHeight="1"/>
    <row r="2" spans="1:20" ht="32.25" customHeight="1"/>
    <row r="3" spans="1:20" ht="19.5" customHeight="1"/>
    <row r="4" spans="1:20" ht="17.25" thickBot="1"/>
    <row r="5" spans="1:20" ht="21.75" thickBot="1">
      <c r="A5" s="1933">
        <v>2023</v>
      </c>
      <c r="B5" s="1934" t="s">
        <v>488</v>
      </c>
      <c r="C5" s="1935"/>
      <c r="D5" s="1935"/>
      <c r="E5" s="1935"/>
      <c r="F5" s="1935"/>
      <c r="G5" s="1935"/>
      <c r="H5" s="1935"/>
      <c r="I5" s="1936"/>
      <c r="J5" s="43"/>
      <c r="K5" s="2023" t="s">
        <v>489</v>
      </c>
      <c r="L5" s="2023"/>
      <c r="N5" s="1934" t="s">
        <v>490</v>
      </c>
      <c r="O5" s="1935"/>
      <c r="P5" s="1935"/>
      <c r="Q5" s="1935"/>
      <c r="R5" s="1935"/>
      <c r="S5" s="1935"/>
      <c r="T5" s="1936"/>
    </row>
    <row r="6" spans="1:20" ht="54.75" thickBot="1">
      <c r="A6" s="1933"/>
      <c r="B6" s="2013" t="s">
        <v>121</v>
      </c>
      <c r="C6" s="68" t="s">
        <v>491</v>
      </c>
      <c r="D6" s="68" t="s">
        <v>492</v>
      </c>
      <c r="E6" s="68" t="s">
        <v>493</v>
      </c>
      <c r="F6" s="68" t="s">
        <v>207</v>
      </c>
      <c r="G6" s="63" t="s">
        <v>494</v>
      </c>
      <c r="H6" s="63" t="s">
        <v>495</v>
      </c>
      <c r="I6" s="63" t="s">
        <v>496</v>
      </c>
      <c r="K6" s="2014" t="s">
        <v>497</v>
      </c>
      <c r="L6" s="2015"/>
      <c r="N6" s="63" t="s">
        <v>498</v>
      </c>
      <c r="O6" s="68" t="s">
        <v>499</v>
      </c>
      <c r="P6" s="68" t="s">
        <v>500</v>
      </c>
      <c r="Q6" s="68" t="s">
        <v>501</v>
      </c>
      <c r="R6" s="68" t="s">
        <v>502</v>
      </c>
      <c r="S6" s="68" t="s">
        <v>503</v>
      </c>
      <c r="T6" s="63" t="s">
        <v>334</v>
      </c>
    </row>
    <row r="7" spans="1:20" ht="18.75" thickBot="1">
      <c r="B7" s="2013"/>
      <c r="C7" s="63" t="s">
        <v>504</v>
      </c>
      <c r="D7" s="63" t="s">
        <v>504</v>
      </c>
      <c r="E7" s="63" t="s">
        <v>504</v>
      </c>
      <c r="F7" s="63" t="s">
        <v>210</v>
      </c>
      <c r="G7" s="63" t="s">
        <v>505</v>
      </c>
      <c r="H7" s="63" t="s">
        <v>505</v>
      </c>
      <c r="I7" s="63" t="s">
        <v>322</v>
      </c>
      <c r="K7" s="63" t="s">
        <v>504</v>
      </c>
      <c r="L7" s="63" t="s">
        <v>506</v>
      </c>
      <c r="N7" s="63" t="s">
        <v>322</v>
      </c>
      <c r="O7" s="63" t="s">
        <v>318</v>
      </c>
      <c r="P7" s="63" t="s">
        <v>318</v>
      </c>
      <c r="Q7" s="63" t="s">
        <v>504</v>
      </c>
      <c r="R7" s="63" t="s">
        <v>504</v>
      </c>
      <c r="S7" s="63" t="s">
        <v>504</v>
      </c>
      <c r="T7" s="63" t="s">
        <v>504</v>
      </c>
    </row>
    <row r="8" spans="1:20" ht="21">
      <c r="A8" s="1685" t="s">
        <v>507</v>
      </c>
      <c r="B8" s="9" t="s">
        <v>278</v>
      </c>
      <c r="C8" s="279">
        <f>'Cat-2'!G6</f>
        <v>246722.26</v>
      </c>
      <c r="D8" s="279">
        <v>0</v>
      </c>
      <c r="E8" s="76">
        <f>IF(SUM(C8:D8)=0,"",(SUM(C8:D8)))</f>
        <v>246722.26</v>
      </c>
      <c r="F8" s="281">
        <f>Gas!U70</f>
        <v>3337.3925373134325</v>
      </c>
      <c r="G8" s="282">
        <v>255</v>
      </c>
      <c r="H8" s="282">
        <v>0</v>
      </c>
      <c r="I8" s="282">
        <v>0</v>
      </c>
      <c r="K8" s="289"/>
      <c r="L8" s="89">
        <f>IFERROR(K8/(K8+E8),"")</f>
        <v>0</v>
      </c>
      <c r="N8" s="281">
        <v>0</v>
      </c>
      <c r="O8" s="282">
        <v>200</v>
      </c>
      <c r="P8" s="282">
        <v>3</v>
      </c>
      <c r="Q8" s="282">
        <f>'Solar Generation'!G5</f>
        <v>17211.760000000002</v>
      </c>
      <c r="R8" s="282">
        <f>'Solar Generation'!P5</f>
        <v>12</v>
      </c>
      <c r="S8" s="279">
        <v>0</v>
      </c>
      <c r="T8" s="76">
        <f>IF(SUM(Q8:S8)=0,"",SUM(Q8:S8))</f>
        <v>17223.760000000002</v>
      </c>
    </row>
    <row r="9" spans="1:20" ht="21">
      <c r="A9" s="1685" t="s">
        <v>508</v>
      </c>
      <c r="B9" s="10" t="s">
        <v>279</v>
      </c>
      <c r="C9" s="280">
        <f>'Cat-2'!G7</f>
        <v>223549.04</v>
      </c>
      <c r="D9" s="280">
        <v>0</v>
      </c>
      <c r="E9" s="77">
        <f t="shared" ref="E9:E19" si="0">IF(SUM(C9:D9)=0,"",(SUM(C9:D9)))</f>
        <v>223549.04</v>
      </c>
      <c r="F9" s="283">
        <f>Gas!U71</f>
        <v>3238.142537313433</v>
      </c>
      <c r="G9" s="284">
        <v>240</v>
      </c>
      <c r="H9" s="284">
        <v>0</v>
      </c>
      <c r="I9" s="284">
        <v>0</v>
      </c>
      <c r="K9" s="290"/>
      <c r="L9" s="90">
        <f t="shared" ref="L9:L21" si="1">IFERROR(K9/(K9+E9),"")</f>
        <v>0</v>
      </c>
      <c r="N9" s="283">
        <v>0</v>
      </c>
      <c r="O9" s="284">
        <v>200</v>
      </c>
      <c r="P9" s="284">
        <v>3</v>
      </c>
      <c r="Q9" s="284">
        <f>'Solar Generation'!G6</f>
        <v>16079.460000000001</v>
      </c>
      <c r="R9" s="284">
        <f>'Solar Generation'!P6</f>
        <v>13</v>
      </c>
      <c r="S9" s="280">
        <v>0</v>
      </c>
      <c r="T9" s="77">
        <f t="shared" ref="T9:T19" si="2">IF(SUM(Q9:S9)=0,"",SUM(Q9:S9))</f>
        <v>16092.460000000001</v>
      </c>
    </row>
    <row r="10" spans="1:20" ht="18">
      <c r="B10" s="10" t="s">
        <v>280</v>
      </c>
      <c r="C10" s="280">
        <f>'Cat-2'!G8</f>
        <v>258273.48</v>
      </c>
      <c r="D10" s="280">
        <v>0</v>
      </c>
      <c r="E10" s="77">
        <f t="shared" si="0"/>
        <v>258273.48</v>
      </c>
      <c r="F10" s="283">
        <f>Gas!U72</f>
        <v>3237.1798507462686</v>
      </c>
      <c r="G10" s="284">
        <v>300</v>
      </c>
      <c r="H10" s="284">
        <v>0</v>
      </c>
      <c r="I10" s="280">
        <v>0</v>
      </c>
      <c r="K10" s="290"/>
      <c r="L10" s="90">
        <f t="shared" si="1"/>
        <v>0</v>
      </c>
      <c r="N10" s="283">
        <v>0</v>
      </c>
      <c r="O10" s="284">
        <v>200</v>
      </c>
      <c r="P10" s="284">
        <v>3</v>
      </c>
      <c r="Q10" s="284">
        <f>'Solar Generation'!G7</f>
        <v>21618.32</v>
      </c>
      <c r="R10" s="284">
        <f>'Solar Generation'!P7</f>
        <v>20</v>
      </c>
      <c r="S10" s="280">
        <v>0</v>
      </c>
      <c r="T10" s="77">
        <f t="shared" si="2"/>
        <v>21638.32</v>
      </c>
    </row>
    <row r="11" spans="1:20" ht="18">
      <c r="B11" s="10" t="s">
        <v>281</v>
      </c>
      <c r="C11" s="280">
        <f>'Cat-2'!G9</f>
        <v>244615.84</v>
      </c>
      <c r="D11" s="280">
        <v>0</v>
      </c>
      <c r="E11" s="77">
        <f t="shared" si="0"/>
        <v>244615.84</v>
      </c>
      <c r="F11" s="283">
        <f>Gas!U73</f>
        <v>2956.0947761194029</v>
      </c>
      <c r="G11" s="284">
        <v>230</v>
      </c>
      <c r="H11" s="284">
        <v>0</v>
      </c>
      <c r="I11" s="280">
        <v>0</v>
      </c>
      <c r="K11" s="290"/>
      <c r="L11" s="90">
        <f t="shared" si="1"/>
        <v>0</v>
      </c>
      <c r="N11" s="283">
        <v>0</v>
      </c>
      <c r="O11" s="284">
        <v>200</v>
      </c>
      <c r="P11" s="284">
        <v>3</v>
      </c>
      <c r="Q11" s="284">
        <f>'Solar Generation'!G8</f>
        <v>18681.160000000003</v>
      </c>
      <c r="R11" s="284">
        <f>'Solar Generation'!P8</f>
        <v>15</v>
      </c>
      <c r="S11" s="280">
        <v>0</v>
      </c>
      <c r="T11" s="77">
        <f t="shared" si="2"/>
        <v>18696.160000000003</v>
      </c>
    </row>
    <row r="12" spans="1:20" ht="18">
      <c r="B12" s="10" t="s">
        <v>132</v>
      </c>
      <c r="C12" s="280">
        <f>'Cat-2'!G10</f>
        <v>329003</v>
      </c>
      <c r="D12" s="280">
        <v>0</v>
      </c>
      <c r="E12" s="77">
        <f t="shared" si="0"/>
        <v>329003</v>
      </c>
      <c r="F12" s="283">
        <f>Gas!U74</f>
        <v>3194.8402985074626</v>
      </c>
      <c r="G12" s="284">
        <v>240</v>
      </c>
      <c r="H12" s="284">
        <v>0</v>
      </c>
      <c r="I12" s="280">
        <v>0</v>
      </c>
      <c r="K12" s="290"/>
      <c r="L12" s="90">
        <f t="shared" si="1"/>
        <v>0</v>
      </c>
      <c r="N12" s="284">
        <v>0</v>
      </c>
      <c r="O12" s="284">
        <v>200</v>
      </c>
      <c r="P12" s="284">
        <v>3</v>
      </c>
      <c r="Q12" s="284">
        <f>'Solar Generation'!G9</f>
        <v>22962.010000000002</v>
      </c>
      <c r="R12" s="284">
        <f>'Solar Generation'!P9</f>
        <v>40</v>
      </c>
      <c r="S12" s="280">
        <v>0</v>
      </c>
      <c r="T12" s="77">
        <f t="shared" si="2"/>
        <v>23002.010000000002</v>
      </c>
    </row>
    <row r="13" spans="1:20" ht="18">
      <c r="B13" s="10" t="s">
        <v>282</v>
      </c>
      <c r="C13" s="280">
        <f>'Cat-2'!G11</f>
        <v>294455.52</v>
      </c>
      <c r="D13" s="280">
        <v>0</v>
      </c>
      <c r="E13" s="77">
        <f t="shared" si="0"/>
        <v>294455.52</v>
      </c>
      <c r="F13" s="283">
        <f>Gas!U75</f>
        <v>3391.4615671641791</v>
      </c>
      <c r="G13" s="284">
        <v>330</v>
      </c>
      <c r="H13" s="284">
        <v>0</v>
      </c>
      <c r="I13" s="280">
        <v>0</v>
      </c>
      <c r="K13" s="288"/>
      <c r="L13" s="90">
        <f t="shared" si="1"/>
        <v>0</v>
      </c>
      <c r="N13" s="284">
        <v>0</v>
      </c>
      <c r="O13" s="284">
        <v>200</v>
      </c>
      <c r="P13" s="284">
        <v>3</v>
      </c>
      <c r="Q13" s="284">
        <f>'Solar Generation'!G10</f>
        <v>19677.629999999997</v>
      </c>
      <c r="R13" s="284">
        <f>'Solar Generation'!P10</f>
        <v>30</v>
      </c>
      <c r="S13" s="280">
        <v>0</v>
      </c>
      <c r="T13" s="77">
        <f t="shared" si="2"/>
        <v>19707.629999999997</v>
      </c>
    </row>
    <row r="14" spans="1:20" ht="18">
      <c r="B14" s="10" t="s">
        <v>283</v>
      </c>
      <c r="C14" s="280">
        <f>'Cat-2'!G12</f>
        <v>274040.66000000003</v>
      </c>
      <c r="D14" s="280">
        <v>0</v>
      </c>
      <c r="E14" s="77">
        <f t="shared" si="0"/>
        <v>274040.66000000003</v>
      </c>
      <c r="F14" s="283">
        <f>Gas!U76</f>
        <v>3389.6369402985074</v>
      </c>
      <c r="G14" s="1824">
        <v>240</v>
      </c>
      <c r="H14" s="284">
        <v>0</v>
      </c>
      <c r="I14" s="280">
        <v>0</v>
      </c>
      <c r="K14" s="288"/>
      <c r="L14" s="90">
        <f t="shared" si="1"/>
        <v>0</v>
      </c>
      <c r="N14" s="284">
        <v>0</v>
      </c>
      <c r="O14" s="284">
        <v>200</v>
      </c>
      <c r="P14" s="284">
        <v>3</v>
      </c>
      <c r="Q14" s="284">
        <f>'Solar Generation'!G11</f>
        <v>25604.169999999991</v>
      </c>
      <c r="R14" s="284">
        <f>'Solar Generation'!P11</f>
        <v>40</v>
      </c>
      <c r="S14" s="280">
        <v>0</v>
      </c>
      <c r="T14" s="77">
        <f t="shared" si="2"/>
        <v>25644.169999999991</v>
      </c>
    </row>
    <row r="15" spans="1:20" ht="18">
      <c r="B15" s="10" t="s">
        <v>284</v>
      </c>
      <c r="C15" s="280">
        <f>'Cat-2'!G13</f>
        <v>279685.06</v>
      </c>
      <c r="D15" s="280">
        <v>0</v>
      </c>
      <c r="E15" s="77">
        <f t="shared" si="0"/>
        <v>279685.06</v>
      </c>
      <c r="F15" s="283">
        <f>Gas!U77</f>
        <v>3234.9847014925372</v>
      </c>
      <c r="G15" s="284">
        <f>'Diesel '!AM36</f>
        <v>240</v>
      </c>
      <c r="H15" s="284">
        <v>0</v>
      </c>
      <c r="I15" s="280">
        <v>0</v>
      </c>
      <c r="K15" s="288"/>
      <c r="L15" s="90">
        <f t="shared" si="1"/>
        <v>0</v>
      </c>
      <c r="N15" s="284">
        <v>0</v>
      </c>
      <c r="O15" s="284">
        <v>200</v>
      </c>
      <c r="P15" s="284">
        <v>3</v>
      </c>
      <c r="Q15" s="284">
        <f>'Solar Generation'!G12</f>
        <v>18134.23</v>
      </c>
      <c r="R15" s="284">
        <f>'Solar Generation'!P12</f>
        <v>40</v>
      </c>
      <c r="S15" s="280">
        <v>0</v>
      </c>
      <c r="T15" s="77">
        <f t="shared" si="2"/>
        <v>18174.23</v>
      </c>
    </row>
    <row r="16" spans="1:20" ht="18">
      <c r="B16" s="10" t="s">
        <v>285</v>
      </c>
      <c r="C16" s="280">
        <f>'Cat-2'!G14</f>
        <v>274144.59999999998</v>
      </c>
      <c r="D16" s="280">
        <v>0</v>
      </c>
      <c r="E16" s="77">
        <f t="shared" si="0"/>
        <v>274144.59999999998</v>
      </c>
      <c r="F16" s="283">
        <f>Gas!U78</f>
        <v>3613.3667910447757</v>
      </c>
      <c r="G16" s="284">
        <f>'Diesel '!AR36</f>
        <v>240</v>
      </c>
      <c r="H16" s="284">
        <v>0</v>
      </c>
      <c r="I16" s="280">
        <v>0</v>
      </c>
      <c r="K16" s="288"/>
      <c r="L16" s="90">
        <f t="shared" si="1"/>
        <v>0</v>
      </c>
      <c r="N16" s="284">
        <v>0</v>
      </c>
      <c r="O16" s="284">
        <v>200</v>
      </c>
      <c r="P16" s="284">
        <v>3</v>
      </c>
      <c r="Q16" s="284">
        <f>'Solar Generation'!G13</f>
        <v>23690.880000000001</v>
      </c>
      <c r="R16" s="284">
        <f>'Solar Generation'!P13</f>
        <v>35</v>
      </c>
      <c r="S16" s="280">
        <v>0</v>
      </c>
      <c r="T16" s="77">
        <f t="shared" si="2"/>
        <v>23725.88</v>
      </c>
    </row>
    <row r="17" spans="2:21" ht="18">
      <c r="B17" s="10" t="s">
        <v>286</v>
      </c>
      <c r="C17" s="280">
        <f>'Cat-2'!G15</f>
        <v>298340.08</v>
      </c>
      <c r="D17" s="280">
        <v>0</v>
      </c>
      <c r="E17" s="77">
        <f t="shared" si="0"/>
        <v>298340.08</v>
      </c>
      <c r="F17" s="283">
        <f>Gas!U79</f>
        <v>3570.360820895522</v>
      </c>
      <c r="G17" s="1824">
        <v>330</v>
      </c>
      <c r="H17" s="284">
        <v>0</v>
      </c>
      <c r="I17" s="280">
        <v>0</v>
      </c>
      <c r="K17" s="288"/>
      <c r="L17" s="90">
        <f t="shared" si="1"/>
        <v>0</v>
      </c>
      <c r="N17" s="285">
        <v>0</v>
      </c>
      <c r="O17" s="284">
        <v>200</v>
      </c>
      <c r="P17" s="284">
        <v>3</v>
      </c>
      <c r="Q17" s="284">
        <f>'Solar Generation'!G14</f>
        <v>20509.14</v>
      </c>
      <c r="R17" s="284">
        <f>'Solar Generation'!P14</f>
        <v>30</v>
      </c>
      <c r="S17" s="280">
        <v>0</v>
      </c>
      <c r="T17" s="77">
        <f t="shared" si="2"/>
        <v>20539.14</v>
      </c>
    </row>
    <row r="18" spans="2:21" ht="18">
      <c r="B18" s="10" t="s">
        <v>287</v>
      </c>
      <c r="C18" s="280">
        <f>'Cat-2'!G16</f>
        <v>284624.78000000003</v>
      </c>
      <c r="D18" s="280">
        <v>0</v>
      </c>
      <c r="E18" s="77">
        <f t="shared" si="0"/>
        <v>284624.78000000003</v>
      </c>
      <c r="F18" s="283">
        <f>Gas!U80</f>
        <v>3400.0746268656717</v>
      </c>
      <c r="G18" s="284">
        <v>300</v>
      </c>
      <c r="H18" s="284">
        <v>0</v>
      </c>
      <c r="I18" s="280">
        <v>0</v>
      </c>
      <c r="K18" s="288"/>
      <c r="L18" s="90">
        <f t="shared" si="1"/>
        <v>0</v>
      </c>
      <c r="N18" s="284">
        <v>0</v>
      </c>
      <c r="O18" s="284">
        <v>200</v>
      </c>
      <c r="P18" s="284">
        <v>3</v>
      </c>
      <c r="Q18" s="284">
        <f>'Solar Generation'!G15</f>
        <v>17579.199999999997</v>
      </c>
      <c r="R18" s="284">
        <f>'Solar Generation'!P15</f>
        <v>10</v>
      </c>
      <c r="S18" s="280">
        <v>0</v>
      </c>
      <c r="T18" s="77">
        <f t="shared" si="2"/>
        <v>17589.199999999997</v>
      </c>
    </row>
    <row r="19" spans="2:21" ht="18.75" thickBot="1">
      <c r="B19" s="11" t="s">
        <v>288</v>
      </c>
      <c r="C19" s="280">
        <f>'Cat-2'!G17</f>
        <v>225260</v>
      </c>
      <c r="D19" s="280">
        <v>0</v>
      </c>
      <c r="E19" s="78">
        <f t="shared" si="0"/>
        <v>225260</v>
      </c>
      <c r="F19" s="283">
        <f>Gas!U81</f>
        <v>3468.9552238805968</v>
      </c>
      <c r="G19" s="284">
        <f>'Diesel '!BG36</f>
        <v>285</v>
      </c>
      <c r="H19" s="286">
        <v>0</v>
      </c>
      <c r="I19" s="287">
        <v>0</v>
      </c>
      <c r="K19" s="291"/>
      <c r="L19" s="91">
        <f t="shared" si="1"/>
        <v>0</v>
      </c>
      <c r="N19" s="284">
        <v>0</v>
      </c>
      <c r="O19" s="284">
        <v>200</v>
      </c>
      <c r="P19" s="286">
        <v>3</v>
      </c>
      <c r="Q19" s="284">
        <f>'Solar Generation'!G16</f>
        <v>15532.050000000001</v>
      </c>
      <c r="R19" s="285" t="str">
        <f>'Solar Generation'!P16</f>
        <v>05</v>
      </c>
      <c r="S19" s="287">
        <v>0</v>
      </c>
      <c r="T19" s="78">
        <f t="shared" si="2"/>
        <v>15532.050000000001</v>
      </c>
    </row>
    <row r="20" spans="2:21" ht="18.75" thickBot="1">
      <c r="B20" s="12" t="s">
        <v>334</v>
      </c>
      <c r="C20" s="79">
        <f>IF(SUM(C8:C19)=0,"",SUM(C8:C19))</f>
        <v>3232714.3200000003</v>
      </c>
      <c r="D20" s="79" t="str">
        <f t="shared" ref="D20:I20" si="3">IF(SUM(D8:D19)=0,"",SUM(D8:D19))</f>
        <v/>
      </c>
      <c r="E20" s="79">
        <f t="shared" si="3"/>
        <v>3232714.3200000003</v>
      </c>
      <c r="F20" s="79">
        <f t="shared" si="3"/>
        <v>40032.49067164179</v>
      </c>
      <c r="G20" s="79">
        <f t="shared" si="3"/>
        <v>3230</v>
      </c>
      <c r="H20" s="79" t="str">
        <f t="shared" si="3"/>
        <v/>
      </c>
      <c r="I20" s="79" t="str">
        <f t="shared" si="3"/>
        <v/>
      </c>
      <c r="K20" s="75" t="str">
        <f>IF(SUM(K8:K19)=0,"",SUM(K8:K19))</f>
        <v/>
      </c>
      <c r="L20" s="2016" t="str">
        <f t="shared" si="1"/>
        <v/>
      </c>
      <c r="N20" s="79" t="str">
        <f t="shared" ref="N20" si="4">IF(SUM(N8:N19)=0,"",SUM(N8:N19))</f>
        <v/>
      </c>
      <c r="O20" s="79">
        <f t="shared" ref="O20:T20" si="5">IF(SUM(O8:O19)=0,"",SUM(O8:O19))</f>
        <v>2400</v>
      </c>
      <c r="P20" s="79">
        <f t="shared" si="5"/>
        <v>36</v>
      </c>
      <c r="Q20" s="79">
        <f t="shared" si="5"/>
        <v>237280.01</v>
      </c>
      <c r="R20" s="79">
        <f t="shared" si="5"/>
        <v>285</v>
      </c>
      <c r="S20" s="79" t="str">
        <f t="shared" si="5"/>
        <v/>
      </c>
      <c r="T20" s="79">
        <f t="shared" si="5"/>
        <v>237565.01</v>
      </c>
    </row>
    <row r="21" spans="2:21" ht="18.75" thickBot="1">
      <c r="B21" s="12" t="s">
        <v>428</v>
      </c>
      <c r="C21" s="79">
        <f t="shared" ref="C21:D21" si="6">IFERROR(AVERAGE(C8:C19),"")</f>
        <v>269392.86000000004</v>
      </c>
      <c r="D21" s="79">
        <f t="shared" si="6"/>
        <v>0</v>
      </c>
      <c r="E21" s="79">
        <f>IFERROR(AVERAGE(E8:E19),"")</f>
        <v>269392.86000000004</v>
      </c>
      <c r="F21" s="79">
        <f t="shared" ref="F21:K21" si="7">IFERROR(AVERAGE(F8:F19),"")</f>
        <v>3336.0408893034823</v>
      </c>
      <c r="G21" s="79">
        <f t="shared" si="7"/>
        <v>269.16666666666669</v>
      </c>
      <c r="H21" s="79">
        <f t="shared" si="7"/>
        <v>0</v>
      </c>
      <c r="I21" s="79">
        <f t="shared" si="7"/>
        <v>0</v>
      </c>
      <c r="K21" s="92" t="str">
        <f t="shared" si="7"/>
        <v/>
      </c>
      <c r="L21" s="2017" t="str">
        <f t="shared" si="1"/>
        <v/>
      </c>
      <c r="N21" s="79">
        <f t="shared" ref="N21" si="8">IFERROR(AVERAGE(N8:N19),"")</f>
        <v>0</v>
      </c>
      <c r="O21" s="79">
        <f t="shared" ref="O21:T21" si="9">IFERROR(AVERAGE(O8:O19),"")</f>
        <v>200</v>
      </c>
      <c r="P21" s="79">
        <f t="shared" si="9"/>
        <v>3</v>
      </c>
      <c r="Q21" s="79">
        <f t="shared" si="9"/>
        <v>19773.334166666667</v>
      </c>
      <c r="R21" s="79">
        <f t="shared" si="9"/>
        <v>25.90909090909091</v>
      </c>
      <c r="S21" s="79">
        <f t="shared" si="9"/>
        <v>0</v>
      </c>
      <c r="T21" s="79">
        <f t="shared" si="9"/>
        <v>19797.084166666667</v>
      </c>
    </row>
    <row r="22" spans="2:21">
      <c r="E22" s="459">
        <f>E20/1000</f>
        <v>3232.7143200000005</v>
      </c>
    </row>
    <row r="23" spans="2:21" ht="17.25" thickBot="1"/>
    <row r="24" spans="2:21" ht="21.75" thickBot="1">
      <c r="B24" s="1934" t="s">
        <v>509</v>
      </c>
      <c r="C24" s="1935"/>
      <c r="D24" s="1935"/>
      <c r="E24" s="1935"/>
      <c r="F24" s="1935"/>
      <c r="G24" s="1935"/>
      <c r="H24" s="1935"/>
      <c r="I24" s="1935"/>
      <c r="J24" s="1935"/>
      <c r="K24" s="1935"/>
      <c r="L24" s="1935"/>
      <c r="M24" s="1935"/>
      <c r="N24" s="1936"/>
    </row>
    <row r="25" spans="2:21" ht="19.5" thickBot="1">
      <c r="B25" s="2018" t="s">
        <v>490</v>
      </c>
      <c r="C25" s="2019"/>
      <c r="D25" s="2019"/>
      <c r="E25" s="2019"/>
      <c r="F25" s="2019"/>
      <c r="G25" s="2019"/>
      <c r="H25" s="2020"/>
      <c r="I25" s="2018" t="s">
        <v>488</v>
      </c>
      <c r="J25" s="2019"/>
      <c r="K25" s="2019"/>
      <c r="L25" s="2019"/>
      <c r="M25" s="2020"/>
      <c r="N25" s="2021" t="s">
        <v>334</v>
      </c>
    </row>
    <row r="26" spans="2:21" ht="18.75" thickBot="1">
      <c r="B26" s="8" t="s">
        <v>121</v>
      </c>
      <c r="C26" s="68" t="s">
        <v>196</v>
      </c>
      <c r="D26" s="68" t="s">
        <v>207</v>
      </c>
      <c r="E26" s="63" t="s">
        <v>494</v>
      </c>
      <c r="F26" s="63" t="s">
        <v>495</v>
      </c>
      <c r="G26" s="63" t="s">
        <v>496</v>
      </c>
      <c r="H26" s="274" t="s">
        <v>334</v>
      </c>
      <c r="I26" s="63" t="s">
        <v>498</v>
      </c>
      <c r="J26" s="63" t="s">
        <v>510</v>
      </c>
      <c r="K26" s="63" t="s">
        <v>511</v>
      </c>
      <c r="L26" s="63" t="s">
        <v>512</v>
      </c>
      <c r="M26" s="274" t="s">
        <v>334</v>
      </c>
      <c r="N26" s="2022"/>
    </row>
    <row r="27" spans="2:21" ht="18">
      <c r="B27" s="108" t="s">
        <v>278</v>
      </c>
      <c r="C27" s="80">
        <f t="shared" ref="C27:C38" si="10">IFERROR(E8*0.0036,"")</f>
        <v>888.20013600000004</v>
      </c>
      <c r="D27" s="80">
        <f t="shared" ref="D27:D38" si="11">IF(F8*1.055=0,"",F8*1.055)</f>
        <v>3520.9491268656711</v>
      </c>
      <c r="E27" s="80">
        <f t="shared" ref="E27:E38" si="12">IF(G8*0.03829=0,"",G8*0.03829)</f>
        <v>9.7639499999999995</v>
      </c>
      <c r="F27" s="80" t="str">
        <f t="shared" ref="F27:F38" si="13">IF(H8*0.03829=0,"",H8*0.03829)</f>
        <v/>
      </c>
      <c r="G27" s="267" t="str">
        <f t="shared" ref="G27:G38" si="14">IF(I8*0.04993=0,"",I8*0.04993)</f>
        <v/>
      </c>
      <c r="H27" s="223">
        <f>IF(SUM(C27:G27)=0,"",SUM(C27:G27))</f>
        <v>4418.9132128656711</v>
      </c>
      <c r="I27" s="80" t="str">
        <f>IF(N8*2550*0.000004184*0.708=0,"",N8*2550*0.000004184*0.708)</f>
        <v/>
      </c>
      <c r="J27" s="267">
        <f>IF(Q8*0.0036=0,"",Q8*0.0036)</f>
        <v>61.962336000000008</v>
      </c>
      <c r="K27" s="267">
        <f>IF(R8*0.0036=0,"",R8*0.0036)</f>
        <v>4.3200000000000002E-2</v>
      </c>
      <c r="L27" s="267" t="str">
        <f>IF(S8*0.0036=0,"",S8*0.0036)</f>
        <v/>
      </c>
      <c r="M27" s="223">
        <f>IF(SUM(I27:L27)=0,"",SUM(I27:L27))</f>
        <v>62.005536000000006</v>
      </c>
      <c r="N27" s="270">
        <f>IF(SUM(E27:M27)=0,"",SUM(E27:M27))</f>
        <v>4552.68823486567</v>
      </c>
    </row>
    <row r="28" spans="2:21" ht="18">
      <c r="B28" s="10" t="s">
        <v>279</v>
      </c>
      <c r="C28" s="80">
        <f t="shared" si="10"/>
        <v>804.77654400000006</v>
      </c>
      <c r="D28" s="77">
        <f t="shared" si="11"/>
        <v>3416.2403768656718</v>
      </c>
      <c r="E28" s="77">
        <f t="shared" si="12"/>
        <v>9.1895999999999987</v>
      </c>
      <c r="F28" s="77" t="str">
        <f t="shared" si="13"/>
        <v/>
      </c>
      <c r="G28" s="268" t="str">
        <f t="shared" si="14"/>
        <v/>
      </c>
      <c r="H28" s="224">
        <f t="shared" ref="H28:H38" si="15">IF(SUM(C28:G28)=0,"",SUM(C28:G28))</f>
        <v>4230.2065208656713</v>
      </c>
      <c r="I28" s="77" t="str">
        <f t="shared" ref="I28:I38" si="16">IF(N9*2550*0.000004184*0.708=0,"",N9*2550*0.000004184*0.708)</f>
        <v/>
      </c>
      <c r="J28" s="268">
        <f t="shared" ref="J28:L28" si="17">IF(Q9*0.0036=0,"",Q9*0.0036)</f>
        <v>57.886056000000004</v>
      </c>
      <c r="K28" s="268">
        <f t="shared" si="17"/>
        <v>4.6800000000000001E-2</v>
      </c>
      <c r="L28" s="268" t="str">
        <f t="shared" si="17"/>
        <v/>
      </c>
      <c r="M28" s="224">
        <f>IF(SUM(I28:L28)=0,"",SUM(I28:L28))</f>
        <v>57.932856000000001</v>
      </c>
      <c r="N28" s="271">
        <f t="shared" ref="N28:N38" si="18">IF(SUM(E28:M28)=0,"",SUM(E28:M28))</f>
        <v>4355.2618328656717</v>
      </c>
      <c r="Q28" s="2012" t="s">
        <v>406</v>
      </c>
      <c r="R28" s="2012"/>
      <c r="S28" s="2012"/>
      <c r="T28" s="2012"/>
      <c r="U28" s="2012"/>
    </row>
    <row r="29" spans="2:21" ht="18">
      <c r="B29" s="10" t="s">
        <v>280</v>
      </c>
      <c r="C29" s="80">
        <f t="shared" si="10"/>
        <v>929.78452800000002</v>
      </c>
      <c r="D29" s="77">
        <f t="shared" si="11"/>
        <v>3415.224742537313</v>
      </c>
      <c r="E29" s="77">
        <f t="shared" si="12"/>
        <v>11.487</v>
      </c>
      <c r="F29" s="77" t="str">
        <f t="shared" si="13"/>
        <v/>
      </c>
      <c r="G29" s="268" t="str">
        <f t="shared" si="14"/>
        <v/>
      </c>
      <c r="H29" s="224">
        <f t="shared" si="15"/>
        <v>4356.4962705373127</v>
      </c>
      <c r="I29" s="77" t="str">
        <f t="shared" si="16"/>
        <v/>
      </c>
      <c r="J29" s="268">
        <f t="shared" ref="J29:L29" si="19">IF(Q10*0.0036=0,"",Q10*0.0036)</f>
        <v>77.825952000000001</v>
      </c>
      <c r="K29" s="268">
        <f t="shared" si="19"/>
        <v>7.1999999999999995E-2</v>
      </c>
      <c r="L29" s="268" t="str">
        <f t="shared" si="19"/>
        <v/>
      </c>
      <c r="M29" s="224">
        <f t="shared" ref="M29:M38" si="20">IF(SUM(I29:L29)=0,"",SUM(I29:L29))</f>
        <v>77.897952000000004</v>
      </c>
      <c r="N29" s="271">
        <f t="shared" si="18"/>
        <v>4523.7791745373133</v>
      </c>
      <c r="Q29" s="2012" t="s">
        <v>513</v>
      </c>
      <c r="R29" s="2012"/>
      <c r="S29" s="2012"/>
      <c r="T29" s="2012"/>
      <c r="U29" s="2012"/>
    </row>
    <row r="30" spans="2:21" ht="18">
      <c r="B30" s="10" t="s">
        <v>281</v>
      </c>
      <c r="C30" s="80">
        <f t="shared" si="10"/>
        <v>880.61702400000001</v>
      </c>
      <c r="D30" s="77">
        <f t="shared" si="11"/>
        <v>3118.67998880597</v>
      </c>
      <c r="E30" s="77">
        <f t="shared" si="12"/>
        <v>8.8066999999999993</v>
      </c>
      <c r="F30" s="77" t="str">
        <f t="shared" si="13"/>
        <v/>
      </c>
      <c r="G30" s="268" t="str">
        <f t="shared" si="14"/>
        <v/>
      </c>
      <c r="H30" s="224">
        <f t="shared" si="15"/>
        <v>4008.1037128059702</v>
      </c>
      <c r="I30" s="77" t="str">
        <f t="shared" si="16"/>
        <v/>
      </c>
      <c r="J30" s="268">
        <f t="shared" ref="J30:L30" si="21">IF(Q11*0.0036=0,"",Q11*0.0036)</f>
        <v>67.252176000000006</v>
      </c>
      <c r="K30" s="268">
        <f t="shared" si="21"/>
        <v>5.3999999999999999E-2</v>
      </c>
      <c r="L30" s="268" t="str">
        <f t="shared" si="21"/>
        <v/>
      </c>
      <c r="M30" s="224">
        <f t="shared" si="20"/>
        <v>67.306176000000008</v>
      </c>
      <c r="N30" s="271">
        <f t="shared" si="18"/>
        <v>4151.5227648059699</v>
      </c>
      <c r="Q30" s="2012" t="s">
        <v>514</v>
      </c>
      <c r="R30" s="2012"/>
      <c r="S30" s="2012"/>
      <c r="T30" s="2012"/>
      <c r="U30" s="2012"/>
    </row>
    <row r="31" spans="2:21" ht="18">
      <c r="B31" s="10" t="s">
        <v>132</v>
      </c>
      <c r="C31" s="80">
        <f t="shared" si="10"/>
        <v>1184.4107999999999</v>
      </c>
      <c r="D31" s="77">
        <f t="shared" si="11"/>
        <v>3370.556514925373</v>
      </c>
      <c r="E31" s="77">
        <f t="shared" si="12"/>
        <v>9.1895999999999987</v>
      </c>
      <c r="F31" s="77" t="str">
        <f t="shared" si="13"/>
        <v/>
      </c>
      <c r="G31" s="268" t="str">
        <f t="shared" si="14"/>
        <v/>
      </c>
      <c r="H31" s="224">
        <f t="shared" si="15"/>
        <v>4564.1569149253728</v>
      </c>
      <c r="I31" s="77" t="str">
        <f t="shared" si="16"/>
        <v/>
      </c>
      <c r="J31" s="268">
        <f t="shared" ref="J31:L31" si="22">IF(Q12*0.0036=0,"",Q12*0.0036)</f>
        <v>82.663236000000012</v>
      </c>
      <c r="K31" s="268">
        <f t="shared" si="22"/>
        <v>0.14399999999999999</v>
      </c>
      <c r="L31" s="268" t="str">
        <f t="shared" si="22"/>
        <v/>
      </c>
      <c r="M31" s="224">
        <f t="shared" si="20"/>
        <v>82.807236000000017</v>
      </c>
      <c r="N31" s="271">
        <f t="shared" si="18"/>
        <v>4738.9609869253727</v>
      </c>
      <c r="Q31" s="2012" t="s">
        <v>515</v>
      </c>
      <c r="R31" s="2012"/>
      <c r="S31" s="2012"/>
      <c r="T31" s="2012"/>
      <c r="U31" s="2012"/>
    </row>
    <row r="32" spans="2:21" ht="18">
      <c r="B32" s="10" t="s">
        <v>282</v>
      </c>
      <c r="C32" s="80">
        <f t="shared" si="10"/>
        <v>1060.0398720000001</v>
      </c>
      <c r="D32" s="77">
        <f t="shared" si="11"/>
        <v>3577.9919533582088</v>
      </c>
      <c r="E32" s="77">
        <f t="shared" si="12"/>
        <v>12.6357</v>
      </c>
      <c r="F32" s="77" t="str">
        <f t="shared" si="13"/>
        <v/>
      </c>
      <c r="G32" s="268" t="str">
        <f t="shared" si="14"/>
        <v/>
      </c>
      <c r="H32" s="224">
        <f t="shared" si="15"/>
        <v>4650.6675253582089</v>
      </c>
      <c r="I32" s="77" t="str">
        <f t="shared" si="16"/>
        <v/>
      </c>
      <c r="J32" s="268">
        <f t="shared" ref="J32:L32" si="23">IF(Q13*0.0036=0,"",Q13*0.0036)</f>
        <v>70.839467999999982</v>
      </c>
      <c r="K32" s="268">
        <f t="shared" si="23"/>
        <v>0.108</v>
      </c>
      <c r="L32" s="268" t="str">
        <f t="shared" si="23"/>
        <v/>
      </c>
      <c r="M32" s="224">
        <f t="shared" si="20"/>
        <v>70.947467999999986</v>
      </c>
      <c r="N32" s="271">
        <f t="shared" si="18"/>
        <v>4805.1981613582093</v>
      </c>
      <c r="Q32" s="2012" t="s">
        <v>516</v>
      </c>
      <c r="R32" s="2012"/>
      <c r="S32" s="2012"/>
      <c r="T32" s="2012"/>
      <c r="U32" s="2012"/>
    </row>
    <row r="33" spans="1:21" ht="18">
      <c r="B33" s="10" t="s">
        <v>283</v>
      </c>
      <c r="C33" s="80">
        <f t="shared" si="10"/>
        <v>986.54637600000012</v>
      </c>
      <c r="D33" s="77">
        <f t="shared" si="11"/>
        <v>3576.0669720149249</v>
      </c>
      <c r="E33" s="77">
        <f t="shared" si="12"/>
        <v>9.1895999999999987</v>
      </c>
      <c r="F33" s="77" t="str">
        <f t="shared" si="13"/>
        <v/>
      </c>
      <c r="G33" s="268" t="str">
        <f t="shared" si="14"/>
        <v/>
      </c>
      <c r="H33" s="224">
        <f t="shared" si="15"/>
        <v>4571.8029480149244</v>
      </c>
      <c r="I33" s="77" t="str">
        <f t="shared" si="16"/>
        <v/>
      </c>
      <c r="J33" s="268">
        <f t="shared" ref="J33:L33" si="24">IF(Q14*0.0036=0,"",Q14*0.0036)</f>
        <v>92.175011999999967</v>
      </c>
      <c r="K33" s="268">
        <f t="shared" si="24"/>
        <v>0.14399999999999999</v>
      </c>
      <c r="L33" s="268" t="str">
        <f t="shared" si="24"/>
        <v/>
      </c>
      <c r="M33" s="224">
        <f t="shared" si="20"/>
        <v>92.319011999999972</v>
      </c>
      <c r="N33" s="271">
        <f t="shared" si="18"/>
        <v>4765.6305720149239</v>
      </c>
      <c r="Q33" s="2012" t="s">
        <v>517</v>
      </c>
      <c r="R33" s="2012"/>
      <c r="S33" s="2012"/>
      <c r="T33" s="2012"/>
      <c r="U33" s="2012"/>
    </row>
    <row r="34" spans="1:21" ht="18">
      <c r="B34" s="10" t="s">
        <v>284</v>
      </c>
      <c r="C34" s="80">
        <f t="shared" si="10"/>
        <v>1006.866216</v>
      </c>
      <c r="D34" s="77">
        <f t="shared" si="11"/>
        <v>3412.9088600746263</v>
      </c>
      <c r="E34" s="77">
        <f t="shared" si="12"/>
        <v>9.1895999999999987</v>
      </c>
      <c r="F34" s="77" t="str">
        <f t="shared" si="13"/>
        <v/>
      </c>
      <c r="G34" s="268" t="str">
        <f t="shared" si="14"/>
        <v/>
      </c>
      <c r="H34" s="224">
        <f t="shared" si="15"/>
        <v>4428.9646760746264</v>
      </c>
      <c r="I34" s="77" t="str">
        <f t="shared" si="16"/>
        <v/>
      </c>
      <c r="J34" s="268">
        <f t="shared" ref="J34:L34" si="25">IF(Q15*0.0036=0,"",Q15*0.0036)</f>
        <v>65.283227999999994</v>
      </c>
      <c r="K34" s="268">
        <f t="shared" si="25"/>
        <v>0.14399999999999999</v>
      </c>
      <c r="L34" s="268" t="str">
        <f t="shared" si="25"/>
        <v/>
      </c>
      <c r="M34" s="224">
        <f t="shared" si="20"/>
        <v>65.427227999999999</v>
      </c>
      <c r="N34" s="271">
        <f t="shared" si="18"/>
        <v>4569.0087320746261</v>
      </c>
      <c r="Q34" s="2012" t="s">
        <v>518</v>
      </c>
      <c r="R34" s="2012"/>
      <c r="S34" s="2012"/>
      <c r="T34" s="2012"/>
      <c r="U34" s="2012"/>
    </row>
    <row r="35" spans="1:21" ht="18">
      <c r="B35" s="10" t="s">
        <v>285</v>
      </c>
      <c r="C35" s="80">
        <f t="shared" si="10"/>
        <v>986.92055999999991</v>
      </c>
      <c r="D35" s="77">
        <f t="shared" si="11"/>
        <v>3812.1019645522383</v>
      </c>
      <c r="E35" s="77">
        <f t="shared" si="12"/>
        <v>9.1895999999999987</v>
      </c>
      <c r="F35" s="77" t="str">
        <f t="shared" si="13"/>
        <v/>
      </c>
      <c r="G35" s="268" t="str">
        <f t="shared" si="14"/>
        <v/>
      </c>
      <c r="H35" s="224">
        <f t="shared" si="15"/>
        <v>4808.2121245522376</v>
      </c>
      <c r="I35" s="77" t="str">
        <f t="shared" si="16"/>
        <v/>
      </c>
      <c r="J35" s="268">
        <f t="shared" ref="J35:L35" si="26">IF(Q16*0.0036=0,"",Q16*0.0036)</f>
        <v>85.287168000000008</v>
      </c>
      <c r="K35" s="268">
        <f t="shared" si="26"/>
        <v>0.126</v>
      </c>
      <c r="L35" s="268" t="str">
        <f t="shared" si="26"/>
        <v/>
      </c>
      <c r="M35" s="224">
        <f t="shared" si="20"/>
        <v>85.413168000000013</v>
      </c>
      <c r="N35" s="271">
        <f t="shared" si="18"/>
        <v>4988.2280605522374</v>
      </c>
      <c r="Q35" s="2012" t="s">
        <v>519</v>
      </c>
      <c r="R35" s="2012"/>
      <c r="S35" s="2012"/>
      <c r="T35" s="2012"/>
      <c r="U35" s="2012"/>
    </row>
    <row r="36" spans="1:21" ht="18">
      <c r="B36" s="10" t="s">
        <v>286</v>
      </c>
      <c r="C36" s="80">
        <f t="shared" si="10"/>
        <v>1074.0242880000001</v>
      </c>
      <c r="D36" s="77">
        <f t="shared" si="11"/>
        <v>3766.7306660447757</v>
      </c>
      <c r="E36" s="77">
        <f t="shared" si="12"/>
        <v>12.6357</v>
      </c>
      <c r="F36" s="77" t="str">
        <f t="shared" si="13"/>
        <v/>
      </c>
      <c r="G36" s="268" t="str">
        <f t="shared" si="14"/>
        <v/>
      </c>
      <c r="H36" s="224">
        <f t="shared" si="15"/>
        <v>4853.3906540447761</v>
      </c>
      <c r="I36" s="77" t="str">
        <f t="shared" si="16"/>
        <v/>
      </c>
      <c r="J36" s="268">
        <f t="shared" ref="J36:L36" si="27">IF(Q17*0.0036=0,"",Q17*0.0036)</f>
        <v>73.832903999999999</v>
      </c>
      <c r="K36" s="268">
        <f>IF(R17*0.0036=0,"",R17*0.0036)</f>
        <v>0.108</v>
      </c>
      <c r="L36" s="268" t="str">
        <f t="shared" si="27"/>
        <v/>
      </c>
      <c r="M36" s="224">
        <f t="shared" si="20"/>
        <v>73.940904000000003</v>
      </c>
      <c r="N36" s="271">
        <f t="shared" si="18"/>
        <v>5013.908162044776</v>
      </c>
      <c r="Q36" s="2012" t="s">
        <v>520</v>
      </c>
      <c r="R36" s="2012"/>
      <c r="S36" s="2012"/>
      <c r="T36" s="2012"/>
      <c r="U36" s="2012"/>
    </row>
    <row r="37" spans="1:21" ht="18">
      <c r="B37" s="10" t="s">
        <v>287</v>
      </c>
      <c r="C37" s="80">
        <f t="shared" si="10"/>
        <v>1024.649208</v>
      </c>
      <c r="D37" s="77">
        <f t="shared" si="11"/>
        <v>3587.0787313432834</v>
      </c>
      <c r="E37" s="77">
        <f t="shared" si="12"/>
        <v>11.487</v>
      </c>
      <c r="F37" s="77" t="str">
        <f t="shared" si="13"/>
        <v/>
      </c>
      <c r="G37" s="268" t="str">
        <f t="shared" si="14"/>
        <v/>
      </c>
      <c r="H37" s="224">
        <f t="shared" si="15"/>
        <v>4623.2149393432837</v>
      </c>
      <c r="I37" s="77" t="str">
        <f t="shared" si="16"/>
        <v/>
      </c>
      <c r="J37" s="268">
        <f t="shared" ref="J37:L37" si="28">IF(Q18*0.0036=0,"",Q18*0.0036)</f>
        <v>63.285119999999985</v>
      </c>
      <c r="K37" s="268">
        <f>IF(R18*0.0036=0,"",R18*0.0036)</f>
        <v>3.5999999999999997E-2</v>
      </c>
      <c r="L37" s="268" t="str">
        <f t="shared" si="28"/>
        <v/>
      </c>
      <c r="M37" s="224">
        <f t="shared" si="20"/>
        <v>63.321119999999986</v>
      </c>
      <c r="N37" s="271">
        <f t="shared" si="18"/>
        <v>4761.344179343283</v>
      </c>
      <c r="Q37" s="2012"/>
      <c r="R37" s="2012"/>
      <c r="S37" s="2012"/>
      <c r="T37" s="2012"/>
      <c r="U37" s="2012"/>
    </row>
    <row r="38" spans="1:21" ht="18.75" thickBot="1">
      <c r="B38" s="11" t="s">
        <v>288</v>
      </c>
      <c r="C38" s="94">
        <f t="shared" si="10"/>
        <v>810.93599999999992</v>
      </c>
      <c r="D38" s="94">
        <f t="shared" si="11"/>
        <v>3659.7477611940294</v>
      </c>
      <c r="E38" s="94">
        <f t="shared" si="12"/>
        <v>10.912649999999999</v>
      </c>
      <c r="F38" s="94" t="str">
        <f t="shared" si="13"/>
        <v/>
      </c>
      <c r="G38" s="269" t="str">
        <f t="shared" si="14"/>
        <v/>
      </c>
      <c r="H38" s="225">
        <f t="shared" si="15"/>
        <v>4481.5964111940293</v>
      </c>
      <c r="I38" s="94" t="str">
        <f t="shared" si="16"/>
        <v/>
      </c>
      <c r="J38" s="269">
        <f t="shared" ref="J38:L38" si="29">IF(Q19*0.0036=0,"",Q19*0.0036)</f>
        <v>55.915379999999999</v>
      </c>
      <c r="K38" s="269">
        <f t="shared" si="29"/>
        <v>1.7999999999999999E-2</v>
      </c>
      <c r="L38" s="269" t="str">
        <f t="shared" si="29"/>
        <v/>
      </c>
      <c r="M38" s="225">
        <f t="shared" si="20"/>
        <v>55.93338</v>
      </c>
      <c r="N38" s="272">
        <f t="shared" si="18"/>
        <v>4604.3758211940303</v>
      </c>
      <c r="O38" s="88"/>
      <c r="P38" s="88"/>
      <c r="Q38" s="2012" t="s">
        <v>521</v>
      </c>
      <c r="R38" s="2012"/>
      <c r="S38" s="2012"/>
      <c r="T38" s="2012"/>
      <c r="U38" s="2012"/>
    </row>
    <row r="39" spans="1:21" ht="18.75" thickBot="1">
      <c r="B39" s="12" t="s">
        <v>334</v>
      </c>
      <c r="C39" s="79">
        <f t="shared" ref="C39" si="30">IF(SUM(C27:C38)=0,"",SUM(C27:C38))</f>
        <v>11637.771552000002</v>
      </c>
      <c r="D39" s="79">
        <f t="shared" ref="D39" si="31">IF(SUM(D27:D38)=0,"",SUM(D27:D38))</f>
        <v>42234.277658582083</v>
      </c>
      <c r="E39" s="79">
        <f t="shared" ref="E39" si="32">IF(SUM(E27:E38)=0,"",SUM(E27:E38))</f>
        <v>123.67669999999998</v>
      </c>
      <c r="F39" s="79" t="str">
        <f t="shared" ref="F39" si="33">IF(SUM(F27:F38)=0,"",SUM(F27:F38))</f>
        <v/>
      </c>
      <c r="G39" s="93" t="str">
        <f t="shared" ref="G39:H39" si="34">IF(SUM(G27:G38)=0,"",SUM(G27:G38))</f>
        <v/>
      </c>
      <c r="H39" s="226">
        <f t="shared" si="34"/>
        <v>53995.725910582085</v>
      </c>
      <c r="I39" s="79" t="str">
        <f t="shared" ref="I39" si="35">IF(SUM(I27:I38)=0,"",SUM(I27:I38))</f>
        <v/>
      </c>
      <c r="J39" s="93">
        <f t="shared" ref="J39" si="36">IF(SUM(J27:J38)=0,"",SUM(J27:J38))</f>
        <v>854.20803599999999</v>
      </c>
      <c r="K39" s="93">
        <f t="shared" ref="K39" si="37">IF(SUM(K27:K38)=0,"",SUM(K27:K38))</f>
        <v>1.044</v>
      </c>
      <c r="L39" s="93" t="str">
        <f t="shared" ref="L39" si="38">IF(SUM(L27:L38)=0,"",SUM(L27:L38))</f>
        <v/>
      </c>
      <c r="M39" s="226">
        <f t="shared" ref="M39:N39" si="39">IF(SUM(M27:M38)=0,"",SUM(M27:M38))</f>
        <v>855.25203599999986</v>
      </c>
      <c r="N39" s="273">
        <f t="shared" si="39"/>
        <v>55829.906682582092</v>
      </c>
    </row>
    <row r="40" spans="1:21" ht="18.75" thickBot="1">
      <c r="B40" s="12" t="s">
        <v>428</v>
      </c>
      <c r="C40" s="79">
        <f t="shared" ref="C40:G40" si="40">IFERROR(AVERAGE(C27:C38),"")</f>
        <v>969.81429600000013</v>
      </c>
      <c r="D40" s="79">
        <f t="shared" si="40"/>
        <v>3519.5231382151737</v>
      </c>
      <c r="E40" s="79">
        <f t="shared" si="40"/>
        <v>10.306391666666665</v>
      </c>
      <c r="F40" s="79" t="str">
        <f t="shared" si="40"/>
        <v/>
      </c>
      <c r="G40" s="79" t="str">
        <f t="shared" si="40"/>
        <v/>
      </c>
      <c r="H40" s="275">
        <f t="shared" ref="H40" si="41">IFERROR(AVERAGE(H27:H38),"")</f>
        <v>4499.6438258818407</v>
      </c>
      <c r="I40" s="79" t="str">
        <f t="shared" ref="I40:J40" si="42">IFERROR(AVERAGE(I27:I38),"")</f>
        <v/>
      </c>
      <c r="J40" s="93">
        <f t="shared" si="42"/>
        <v>71.184003000000004</v>
      </c>
      <c r="K40" s="93">
        <f>IFERROR(AVERAGE(K27:K38),"")</f>
        <v>8.7000000000000008E-2</v>
      </c>
      <c r="L40" s="93" t="str">
        <f t="shared" ref="L40" si="43">IFERROR(AVERAGE(L27:L38),"")</f>
        <v/>
      </c>
      <c r="M40" s="226">
        <f t="shared" ref="M40:N40" si="44">IFERROR(AVERAGE(M27:M38),"")</f>
        <v>71.271002999999993</v>
      </c>
      <c r="N40" s="273">
        <f t="shared" si="44"/>
        <v>4652.4922235485074</v>
      </c>
    </row>
    <row r="46" spans="1:21" ht="17.25" thickBot="1"/>
    <row r="47" spans="1:21" ht="21.75" thickBot="1">
      <c r="A47" s="1933">
        <v>2024</v>
      </c>
      <c r="B47" s="1934" t="s">
        <v>488</v>
      </c>
      <c r="C47" s="1935"/>
      <c r="D47" s="1935"/>
      <c r="E47" s="1935"/>
      <c r="F47" s="1935"/>
      <c r="G47" s="1935"/>
      <c r="H47" s="1935"/>
      <c r="I47" s="1936"/>
      <c r="J47" s="43"/>
      <c r="K47" s="2023" t="s">
        <v>489</v>
      </c>
      <c r="L47" s="2023"/>
      <c r="N47" s="1934" t="s">
        <v>490</v>
      </c>
      <c r="O47" s="1935"/>
      <c r="P47" s="1935"/>
      <c r="Q47" s="1935"/>
      <c r="R47" s="1935"/>
      <c r="S47" s="1935"/>
      <c r="T47" s="1936"/>
    </row>
    <row r="48" spans="1:21" ht="54.75" thickBot="1">
      <c r="A48" s="1933"/>
      <c r="B48" s="2013" t="s">
        <v>121</v>
      </c>
      <c r="C48" s="68" t="s">
        <v>491</v>
      </c>
      <c r="D48" s="68" t="s">
        <v>492</v>
      </c>
      <c r="E48" s="68" t="s">
        <v>493</v>
      </c>
      <c r="F48" s="68" t="s">
        <v>207</v>
      </c>
      <c r="G48" s="63" t="s">
        <v>494</v>
      </c>
      <c r="H48" s="63" t="s">
        <v>495</v>
      </c>
      <c r="I48" s="63" t="s">
        <v>496</v>
      </c>
      <c r="K48" s="2014" t="s">
        <v>497</v>
      </c>
      <c r="L48" s="2015"/>
      <c r="N48" s="63" t="s">
        <v>498</v>
      </c>
      <c r="O48" s="68" t="s">
        <v>499</v>
      </c>
      <c r="P48" s="68" t="s">
        <v>500</v>
      </c>
      <c r="Q48" s="68" t="s">
        <v>501</v>
      </c>
      <c r="R48" s="68" t="s">
        <v>502</v>
      </c>
      <c r="S48" s="68" t="s">
        <v>503</v>
      </c>
      <c r="T48" s="63" t="s">
        <v>334</v>
      </c>
    </row>
    <row r="49" spans="1:20" ht="18.75" thickBot="1">
      <c r="B49" s="2013"/>
      <c r="C49" s="63" t="s">
        <v>504</v>
      </c>
      <c r="D49" s="63" t="s">
        <v>504</v>
      </c>
      <c r="E49" s="63" t="s">
        <v>504</v>
      </c>
      <c r="F49" s="63" t="s">
        <v>210</v>
      </c>
      <c r="G49" s="63" t="s">
        <v>505</v>
      </c>
      <c r="H49" s="63" t="s">
        <v>505</v>
      </c>
      <c r="I49" s="63" t="s">
        <v>322</v>
      </c>
      <c r="K49" s="63" t="s">
        <v>504</v>
      </c>
      <c r="L49" s="63" t="s">
        <v>506</v>
      </c>
      <c r="N49" s="63" t="s">
        <v>322</v>
      </c>
      <c r="O49" s="63" t="s">
        <v>318</v>
      </c>
      <c r="P49" s="63" t="s">
        <v>318</v>
      </c>
      <c r="Q49" s="63" t="s">
        <v>504</v>
      </c>
      <c r="R49" s="63" t="s">
        <v>504</v>
      </c>
      <c r="S49" s="63" t="s">
        <v>504</v>
      </c>
      <c r="T49" s="63" t="s">
        <v>504</v>
      </c>
    </row>
    <row r="50" spans="1:20" ht="21">
      <c r="A50" s="1685" t="s">
        <v>507</v>
      </c>
      <c r="B50" s="9" t="s">
        <v>278</v>
      </c>
      <c r="C50" s="279">
        <f>'Cat-2'!G26</f>
        <v>244355</v>
      </c>
      <c r="D50" s="279"/>
      <c r="E50" s="76">
        <f>IF(SUM(C50:D50)=0,"",(SUM(C50:D50)))</f>
        <v>244355</v>
      </c>
      <c r="F50" s="281">
        <f>Gas!U83</f>
        <v>3442.9850746268658</v>
      </c>
      <c r="G50" s="282">
        <f>'Diesel '!BM36</f>
        <v>0</v>
      </c>
      <c r="H50" s="282"/>
      <c r="I50" s="282"/>
      <c r="K50" s="289"/>
      <c r="L50" s="89">
        <f>IFERROR(K50/(K50+E50),"")</f>
        <v>0</v>
      </c>
      <c r="N50" s="281">
        <v>0</v>
      </c>
      <c r="O50" s="282">
        <v>200</v>
      </c>
      <c r="P50" s="282">
        <v>3</v>
      </c>
      <c r="Q50" s="282">
        <f>'Solar Generation'!J5</f>
        <v>14735.02</v>
      </c>
      <c r="R50" s="282">
        <f>'Solar Generation'!S5</f>
        <v>0</v>
      </c>
      <c r="S50" s="279">
        <v>0</v>
      </c>
      <c r="T50" s="76">
        <f>IF(SUM(Q50:S50)=0,"",SUM(Q50:S50))</f>
        <v>14735.02</v>
      </c>
    </row>
    <row r="51" spans="1:20" ht="21">
      <c r="A51" s="1685" t="s">
        <v>508</v>
      </c>
      <c r="B51" s="10" t="s">
        <v>279</v>
      </c>
      <c r="C51" s="280">
        <f>'Cat-2'!G27</f>
        <v>0</v>
      </c>
      <c r="D51" s="280"/>
      <c r="E51" s="77" t="str">
        <f t="shared" ref="E51:E61" si="45">IF(SUM(C51:D51)=0,"",(SUM(C51:D51)))</f>
        <v/>
      </c>
      <c r="F51" s="283">
        <f>Gas!U84</f>
        <v>0</v>
      </c>
      <c r="G51" s="284">
        <f>'Diesel '!BR36</f>
        <v>0</v>
      </c>
      <c r="H51" s="284"/>
      <c r="I51" s="284"/>
      <c r="K51" s="290"/>
      <c r="L51" s="90" t="str">
        <f t="shared" ref="L51:L63" si="46">IFERROR(K51/(K51+E51),"")</f>
        <v/>
      </c>
      <c r="N51" s="283">
        <v>0</v>
      </c>
      <c r="O51" s="284">
        <v>200</v>
      </c>
      <c r="P51" s="284">
        <v>3</v>
      </c>
      <c r="Q51" s="284">
        <f>'Solar Generation'!J6</f>
        <v>0</v>
      </c>
      <c r="R51" s="284">
        <f>'Solar Generation'!S6</f>
        <v>0</v>
      </c>
      <c r="S51" s="280">
        <v>0</v>
      </c>
      <c r="T51" s="77" t="str">
        <f t="shared" ref="T51:T61" si="47">IF(SUM(Q51:S51)=0,"",SUM(Q51:S51))</f>
        <v/>
      </c>
    </row>
    <row r="52" spans="1:20" ht="18">
      <c r="B52" s="10" t="s">
        <v>280</v>
      </c>
      <c r="C52" s="280">
        <f>'Cat-2'!G28</f>
        <v>0</v>
      </c>
      <c r="D52" s="280"/>
      <c r="E52" s="77" t="str">
        <f t="shared" si="45"/>
        <v/>
      </c>
      <c r="F52" s="283">
        <f>Gas!U85</f>
        <v>0</v>
      </c>
      <c r="G52" s="284">
        <f>'Diesel '!BW36</f>
        <v>0</v>
      </c>
      <c r="H52" s="284"/>
      <c r="I52" s="280"/>
      <c r="K52" s="290"/>
      <c r="L52" s="90" t="str">
        <f t="shared" si="46"/>
        <v/>
      </c>
      <c r="N52" s="283">
        <v>0</v>
      </c>
      <c r="O52" s="284">
        <v>200</v>
      </c>
      <c r="P52" s="284">
        <v>3</v>
      </c>
      <c r="Q52" s="284">
        <f>'Solar Generation'!J7</f>
        <v>0</v>
      </c>
      <c r="R52" s="284">
        <f>'Solar Generation'!S7</f>
        <v>0</v>
      </c>
      <c r="S52" s="280">
        <v>0</v>
      </c>
      <c r="T52" s="77" t="str">
        <f t="shared" si="47"/>
        <v/>
      </c>
    </row>
    <row r="53" spans="1:20" ht="18">
      <c r="B53" s="10" t="s">
        <v>281</v>
      </c>
      <c r="C53" s="280">
        <f>'Cat-2'!G29</f>
        <v>0</v>
      </c>
      <c r="D53" s="280"/>
      <c r="E53" s="77" t="str">
        <f t="shared" si="45"/>
        <v/>
      </c>
      <c r="F53" s="283">
        <f>Gas!U86</f>
        <v>0</v>
      </c>
      <c r="G53" s="284">
        <f>'Diesel '!CB36</f>
        <v>0</v>
      </c>
      <c r="H53" s="284"/>
      <c r="I53" s="280"/>
      <c r="K53" s="290"/>
      <c r="L53" s="90" t="str">
        <f t="shared" si="46"/>
        <v/>
      </c>
      <c r="N53" s="283">
        <v>0</v>
      </c>
      <c r="O53" s="284">
        <v>200</v>
      </c>
      <c r="P53" s="284">
        <v>3</v>
      </c>
      <c r="Q53" s="284">
        <f>'Solar Generation'!J8</f>
        <v>0</v>
      </c>
      <c r="R53" s="284">
        <f>'Solar Generation'!S8</f>
        <v>0</v>
      </c>
      <c r="S53" s="280">
        <v>0</v>
      </c>
      <c r="T53" s="77" t="str">
        <f t="shared" si="47"/>
        <v/>
      </c>
    </row>
    <row r="54" spans="1:20" ht="18">
      <c r="B54" s="10" t="s">
        <v>132</v>
      </c>
      <c r="C54" s="280">
        <f>'Cat-2'!G30</f>
        <v>0</v>
      </c>
      <c r="D54" s="280"/>
      <c r="E54" s="77" t="str">
        <f t="shared" si="45"/>
        <v/>
      </c>
      <c r="F54" s="283">
        <f>Gas!U87</f>
        <v>0</v>
      </c>
      <c r="G54" s="284">
        <f>'Diesel '!CG36</f>
        <v>0</v>
      </c>
      <c r="H54" s="284"/>
      <c r="I54" s="280"/>
      <c r="K54" s="290"/>
      <c r="L54" s="90" t="str">
        <f t="shared" si="46"/>
        <v/>
      </c>
      <c r="N54" s="283">
        <v>0</v>
      </c>
      <c r="O54" s="284">
        <v>200</v>
      </c>
      <c r="P54" s="284">
        <v>3</v>
      </c>
      <c r="Q54" s="284">
        <f>'Solar Generation'!J9</f>
        <v>0</v>
      </c>
      <c r="R54" s="284">
        <f>'Solar Generation'!S9</f>
        <v>0</v>
      </c>
      <c r="S54" s="280">
        <v>0</v>
      </c>
      <c r="T54" s="77" t="str">
        <f t="shared" si="47"/>
        <v/>
      </c>
    </row>
    <row r="55" spans="1:20" ht="18">
      <c r="B55" s="10" t="s">
        <v>282</v>
      </c>
      <c r="C55" s="280">
        <f>'Cat-2'!G31</f>
        <v>0</v>
      </c>
      <c r="D55" s="280"/>
      <c r="E55" s="77" t="str">
        <f t="shared" si="45"/>
        <v/>
      </c>
      <c r="F55" s="283">
        <f>Gas!U88</f>
        <v>0</v>
      </c>
      <c r="G55" s="284">
        <f>'Diesel '!CL36</f>
        <v>0</v>
      </c>
      <c r="H55" s="284"/>
      <c r="I55" s="280"/>
      <c r="K55" s="288"/>
      <c r="L55" s="90" t="str">
        <f t="shared" si="46"/>
        <v/>
      </c>
      <c r="N55" s="283">
        <v>0</v>
      </c>
      <c r="O55" s="284">
        <v>200</v>
      </c>
      <c r="P55" s="284">
        <v>3</v>
      </c>
      <c r="Q55" s="284">
        <f>'Solar Generation'!J10</f>
        <v>0</v>
      </c>
      <c r="R55" s="284">
        <f>'Solar Generation'!S10</f>
        <v>0</v>
      </c>
      <c r="S55" s="280">
        <v>0</v>
      </c>
      <c r="T55" s="77" t="str">
        <f t="shared" si="47"/>
        <v/>
      </c>
    </row>
    <row r="56" spans="1:20" ht="18">
      <c r="B56" s="10" t="s">
        <v>283</v>
      </c>
      <c r="C56" s="280">
        <f>'Cat-2'!G32</f>
        <v>0</v>
      </c>
      <c r="D56" s="280"/>
      <c r="E56" s="77" t="str">
        <f t="shared" si="45"/>
        <v/>
      </c>
      <c r="F56" s="283">
        <f>Gas!U89</f>
        <v>0</v>
      </c>
      <c r="G56" s="284">
        <f>'Diesel '!CQ36</f>
        <v>0</v>
      </c>
      <c r="H56" s="284"/>
      <c r="I56" s="280"/>
      <c r="K56" s="288"/>
      <c r="L56" s="90" t="str">
        <f t="shared" si="46"/>
        <v/>
      </c>
      <c r="N56" s="283">
        <v>0</v>
      </c>
      <c r="O56" s="284">
        <v>200</v>
      </c>
      <c r="P56" s="284">
        <v>3</v>
      </c>
      <c r="Q56" s="284">
        <f>'Solar Generation'!J11</f>
        <v>0</v>
      </c>
      <c r="R56" s="284">
        <f>'Solar Generation'!S11</f>
        <v>0</v>
      </c>
      <c r="S56" s="280">
        <v>0</v>
      </c>
      <c r="T56" s="77" t="str">
        <f t="shared" si="47"/>
        <v/>
      </c>
    </row>
    <row r="57" spans="1:20" ht="18">
      <c r="B57" s="10" t="s">
        <v>284</v>
      </c>
      <c r="C57" s="280">
        <f>'Cat-2'!G33</f>
        <v>0</v>
      </c>
      <c r="D57" s="280"/>
      <c r="E57" s="77" t="str">
        <f t="shared" si="45"/>
        <v/>
      </c>
      <c r="F57" s="283">
        <f>Gas!U90</f>
        <v>0</v>
      </c>
      <c r="G57" s="284">
        <f>'Diesel '!CV36</f>
        <v>0</v>
      </c>
      <c r="H57" s="284"/>
      <c r="I57" s="280"/>
      <c r="K57" s="288"/>
      <c r="L57" s="90" t="str">
        <f t="shared" si="46"/>
        <v/>
      </c>
      <c r="N57" s="283">
        <v>0</v>
      </c>
      <c r="O57" s="284">
        <v>200</v>
      </c>
      <c r="P57" s="284">
        <v>3</v>
      </c>
      <c r="Q57" s="284">
        <f>'Solar Generation'!J12</f>
        <v>0</v>
      </c>
      <c r="R57" s="284">
        <f>'Solar Generation'!S12</f>
        <v>0</v>
      </c>
      <c r="S57" s="280">
        <v>0</v>
      </c>
      <c r="T57" s="77" t="str">
        <f t="shared" si="47"/>
        <v/>
      </c>
    </row>
    <row r="58" spans="1:20" ht="18">
      <c r="B58" s="10" t="s">
        <v>285</v>
      </c>
      <c r="C58" s="280">
        <f>'Cat-2'!G34</f>
        <v>0</v>
      </c>
      <c r="D58" s="280"/>
      <c r="E58" s="77" t="str">
        <f t="shared" si="45"/>
        <v/>
      </c>
      <c r="F58" s="283">
        <f>Gas!U91</f>
        <v>0</v>
      </c>
      <c r="G58" s="284">
        <f>'Diesel '!DA36</f>
        <v>0</v>
      </c>
      <c r="H58" s="284"/>
      <c r="I58" s="280"/>
      <c r="K58" s="288"/>
      <c r="L58" s="90" t="str">
        <f t="shared" si="46"/>
        <v/>
      </c>
      <c r="N58" s="283">
        <v>0</v>
      </c>
      <c r="O58" s="284">
        <v>200</v>
      </c>
      <c r="P58" s="284">
        <v>3</v>
      </c>
      <c r="Q58" s="284">
        <f>'Solar Generation'!J13</f>
        <v>0</v>
      </c>
      <c r="R58" s="284">
        <f>'Solar Generation'!S13</f>
        <v>0</v>
      </c>
      <c r="S58" s="280">
        <v>0</v>
      </c>
      <c r="T58" s="77" t="str">
        <f t="shared" si="47"/>
        <v/>
      </c>
    </row>
    <row r="59" spans="1:20" ht="18">
      <c r="B59" s="10" t="s">
        <v>286</v>
      </c>
      <c r="C59" s="280">
        <f>'Cat-2'!G35</f>
        <v>0</v>
      </c>
      <c r="D59" s="280"/>
      <c r="E59" s="77" t="str">
        <f t="shared" si="45"/>
        <v/>
      </c>
      <c r="F59" s="283">
        <f>Gas!U92</f>
        <v>0</v>
      </c>
      <c r="G59" s="284">
        <f>'Diesel '!DF36</f>
        <v>0</v>
      </c>
      <c r="H59" s="284"/>
      <c r="I59" s="280"/>
      <c r="K59" s="288"/>
      <c r="L59" s="90" t="str">
        <f t="shared" si="46"/>
        <v/>
      </c>
      <c r="N59" s="283">
        <v>0</v>
      </c>
      <c r="O59" s="284">
        <v>200</v>
      </c>
      <c r="P59" s="284">
        <v>3</v>
      </c>
      <c r="Q59" s="284">
        <f>'Solar Generation'!J14</f>
        <v>0</v>
      </c>
      <c r="R59" s="284">
        <f>'Solar Generation'!S14</f>
        <v>0</v>
      </c>
      <c r="S59" s="280">
        <v>0</v>
      </c>
      <c r="T59" s="77" t="str">
        <f t="shared" si="47"/>
        <v/>
      </c>
    </row>
    <row r="60" spans="1:20" ht="18">
      <c r="B60" s="10" t="s">
        <v>287</v>
      </c>
      <c r="C60" s="280">
        <f>'Cat-2'!G36</f>
        <v>0</v>
      </c>
      <c r="D60" s="280"/>
      <c r="E60" s="77" t="str">
        <f t="shared" si="45"/>
        <v/>
      </c>
      <c r="F60" s="283">
        <f>Gas!U93</f>
        <v>0</v>
      </c>
      <c r="G60" s="284">
        <f>'Diesel '!DK36</f>
        <v>0</v>
      </c>
      <c r="H60" s="284"/>
      <c r="I60" s="280"/>
      <c r="K60" s="288"/>
      <c r="L60" s="90" t="str">
        <f t="shared" si="46"/>
        <v/>
      </c>
      <c r="N60" s="283">
        <v>0</v>
      </c>
      <c r="O60" s="284">
        <v>200</v>
      </c>
      <c r="P60" s="284">
        <v>3</v>
      </c>
      <c r="Q60" s="284">
        <f>'Solar Generation'!J15</f>
        <v>0</v>
      </c>
      <c r="R60" s="284">
        <f>'Solar Generation'!S15</f>
        <v>0</v>
      </c>
      <c r="S60" s="280">
        <v>0</v>
      </c>
      <c r="T60" s="77" t="str">
        <f t="shared" si="47"/>
        <v/>
      </c>
    </row>
    <row r="61" spans="1:20" ht="18.75" thickBot="1">
      <c r="B61" s="11" t="s">
        <v>288</v>
      </c>
      <c r="C61" s="280">
        <f>'Cat-2'!G37</f>
        <v>0</v>
      </c>
      <c r="D61" s="280"/>
      <c r="E61" s="78" t="str">
        <f t="shared" si="45"/>
        <v/>
      </c>
      <c r="F61" s="283">
        <f>Gas!U94</f>
        <v>0</v>
      </c>
      <c r="G61" s="284">
        <f>'Diesel '!DP36</f>
        <v>0</v>
      </c>
      <c r="H61" s="286"/>
      <c r="I61" s="287"/>
      <c r="K61" s="291"/>
      <c r="L61" s="91" t="str">
        <f t="shared" si="46"/>
        <v/>
      </c>
      <c r="N61" s="283">
        <v>0</v>
      </c>
      <c r="O61" s="284">
        <v>200</v>
      </c>
      <c r="P61" s="286">
        <v>3</v>
      </c>
      <c r="Q61" s="284">
        <f>'Solar Generation'!J16</f>
        <v>0</v>
      </c>
      <c r="R61" s="284">
        <f>'Solar Generation'!S16</f>
        <v>0</v>
      </c>
      <c r="S61" s="287">
        <v>0</v>
      </c>
      <c r="T61" s="78" t="str">
        <f t="shared" si="47"/>
        <v/>
      </c>
    </row>
    <row r="62" spans="1:20" ht="18.75" thickBot="1">
      <c r="B62" s="12" t="s">
        <v>334</v>
      </c>
      <c r="C62" s="79">
        <f>IF(SUM(C50:C61)=0,"",SUM(C50:C61))</f>
        <v>244355</v>
      </c>
      <c r="D62" s="79" t="str">
        <f t="shared" ref="D62:I62" si="48">IF(SUM(D50:D61)=0,"",SUM(D50:D61))</f>
        <v/>
      </c>
      <c r="E62" s="79">
        <f t="shared" si="48"/>
        <v>244355</v>
      </c>
      <c r="F62" s="79">
        <f t="shared" si="48"/>
        <v>3442.9850746268658</v>
      </c>
      <c r="G62" s="79" t="str">
        <f t="shared" si="48"/>
        <v/>
      </c>
      <c r="H62" s="79" t="str">
        <f t="shared" si="48"/>
        <v/>
      </c>
      <c r="I62" s="79" t="str">
        <f t="shared" si="48"/>
        <v/>
      </c>
      <c r="K62" s="75" t="str">
        <f>IF(SUM(K50:K61)=0,"",SUM(K50:K61))</f>
        <v/>
      </c>
      <c r="L62" s="2016" t="str">
        <f t="shared" si="46"/>
        <v/>
      </c>
      <c r="N62" s="79" t="str">
        <f t="shared" ref="N62:T62" si="49">IF(SUM(N50:N61)=0,"",SUM(N50:N61))</f>
        <v/>
      </c>
      <c r="O62" s="79">
        <f t="shared" si="49"/>
        <v>2400</v>
      </c>
      <c r="P62" s="79">
        <f t="shared" si="49"/>
        <v>36</v>
      </c>
      <c r="Q62" s="79">
        <f t="shared" si="49"/>
        <v>14735.02</v>
      </c>
      <c r="R62" s="79" t="str">
        <f t="shared" si="49"/>
        <v/>
      </c>
      <c r="S62" s="79" t="str">
        <f t="shared" si="49"/>
        <v/>
      </c>
      <c r="T62" s="79">
        <f t="shared" si="49"/>
        <v>14735.02</v>
      </c>
    </row>
    <row r="63" spans="1:20" ht="18.75" thickBot="1">
      <c r="B63" s="12" t="s">
        <v>428</v>
      </c>
      <c r="C63" s="79">
        <f t="shared" ref="C63:D63" si="50">IFERROR(AVERAGE(C50:C61),"")</f>
        <v>20362.916666666668</v>
      </c>
      <c r="D63" s="79" t="str">
        <f t="shared" si="50"/>
        <v/>
      </c>
      <c r="E63" s="79">
        <f>IFERROR(AVERAGE(E50:E61),"")</f>
        <v>244355</v>
      </c>
      <c r="F63" s="79">
        <f t="shared" ref="F63:I63" si="51">IFERROR(AVERAGE(F50:F61),"")</f>
        <v>286.91542288557213</v>
      </c>
      <c r="G63" s="79">
        <f t="shared" si="51"/>
        <v>0</v>
      </c>
      <c r="H63" s="79" t="str">
        <f t="shared" si="51"/>
        <v/>
      </c>
      <c r="I63" s="79" t="str">
        <f t="shared" si="51"/>
        <v/>
      </c>
      <c r="K63" s="92" t="str">
        <f t="shared" ref="K63" si="52">IFERROR(AVERAGE(K50:K61),"")</f>
        <v/>
      </c>
      <c r="L63" s="2017" t="str">
        <f t="shared" si="46"/>
        <v/>
      </c>
      <c r="N63" s="79">
        <f t="shared" ref="N63:T63" si="53">IFERROR(AVERAGE(N50:N61),"")</f>
        <v>0</v>
      </c>
      <c r="O63" s="79">
        <f t="shared" si="53"/>
        <v>200</v>
      </c>
      <c r="P63" s="79">
        <f t="shared" si="53"/>
        <v>3</v>
      </c>
      <c r="Q63" s="79">
        <f t="shared" si="53"/>
        <v>1227.9183333333333</v>
      </c>
      <c r="R63" s="79">
        <f t="shared" si="53"/>
        <v>0</v>
      </c>
      <c r="S63" s="79">
        <f t="shared" si="53"/>
        <v>0</v>
      </c>
      <c r="T63" s="79">
        <f t="shared" si="53"/>
        <v>14735.02</v>
      </c>
    </row>
    <row r="64" spans="1:20">
      <c r="E64" s="459">
        <f>E62/1000</f>
        <v>244.35499999999999</v>
      </c>
    </row>
    <row r="65" spans="2:21" ht="17.25" thickBot="1"/>
    <row r="66" spans="2:21" ht="21.75" thickBot="1">
      <c r="B66" s="1934" t="s">
        <v>509</v>
      </c>
      <c r="C66" s="1935"/>
      <c r="D66" s="1935"/>
      <c r="E66" s="1935"/>
      <c r="F66" s="1935"/>
      <c r="G66" s="1935"/>
      <c r="H66" s="1935"/>
      <c r="I66" s="1935"/>
      <c r="J66" s="1935"/>
      <c r="K66" s="1935"/>
      <c r="L66" s="1935"/>
      <c r="M66" s="1935"/>
      <c r="N66" s="1936"/>
    </row>
    <row r="67" spans="2:21" ht="19.5" thickBot="1">
      <c r="B67" s="2018" t="s">
        <v>490</v>
      </c>
      <c r="C67" s="2019"/>
      <c r="D67" s="2019"/>
      <c r="E67" s="2019"/>
      <c r="F67" s="2019"/>
      <c r="G67" s="2019"/>
      <c r="H67" s="2020"/>
      <c r="I67" s="2018" t="s">
        <v>488</v>
      </c>
      <c r="J67" s="2019"/>
      <c r="K67" s="2019"/>
      <c r="L67" s="2019"/>
      <c r="M67" s="2020"/>
      <c r="N67" s="2021" t="s">
        <v>334</v>
      </c>
    </row>
    <row r="68" spans="2:21" ht="18.75" thickBot="1">
      <c r="B68" s="8" t="s">
        <v>121</v>
      </c>
      <c r="C68" s="68" t="s">
        <v>196</v>
      </c>
      <c r="D68" s="68" t="s">
        <v>207</v>
      </c>
      <c r="E68" s="63" t="s">
        <v>494</v>
      </c>
      <c r="F68" s="63" t="s">
        <v>495</v>
      </c>
      <c r="G68" s="63" t="s">
        <v>496</v>
      </c>
      <c r="H68" s="274" t="s">
        <v>334</v>
      </c>
      <c r="I68" s="63" t="s">
        <v>498</v>
      </c>
      <c r="J68" s="63" t="s">
        <v>510</v>
      </c>
      <c r="K68" s="63" t="s">
        <v>511</v>
      </c>
      <c r="L68" s="63" t="s">
        <v>512</v>
      </c>
      <c r="M68" s="274" t="s">
        <v>334</v>
      </c>
      <c r="N68" s="2022"/>
    </row>
    <row r="69" spans="2:21" ht="18">
      <c r="B69" s="108" t="s">
        <v>278</v>
      </c>
      <c r="C69" s="80">
        <f t="shared" ref="C69:C80" si="54">IFERROR(E50*0.0036,"")</f>
        <v>879.678</v>
      </c>
      <c r="D69" s="80">
        <f t="shared" ref="D69:D80" si="55">IF(F50*1.055=0,"",F50*1.055)</f>
        <v>3632.3492537313432</v>
      </c>
      <c r="E69" s="80" t="str">
        <f t="shared" ref="E69:E80" si="56">IF(G50*0.03829=0,"",G50*0.03829)</f>
        <v/>
      </c>
      <c r="F69" s="80" t="str">
        <f t="shared" ref="F69:F80" si="57">IF(H50*0.03829=0,"",H50*0.03829)</f>
        <v/>
      </c>
      <c r="G69" s="267" t="str">
        <f t="shared" ref="G69:G80" si="58">IF(I50*0.04993=0,"",I50*0.04993)</f>
        <v/>
      </c>
      <c r="H69" s="223">
        <f>IF(SUM(C69:G69)=0,"",SUM(C69:G69))</f>
        <v>4512.0272537313431</v>
      </c>
      <c r="I69" s="80" t="str">
        <f>IF(N50*2550*0.000004184*0.708=0,"",N50*2550*0.000004184*0.708)</f>
        <v/>
      </c>
      <c r="J69" s="267">
        <f>IF(Q50*0.0036=0,"",Q50*0.0036)</f>
        <v>53.046072000000002</v>
      </c>
      <c r="K69" s="267" t="str">
        <f>IF(R50*0.0036=0,"",R50*0.0036)</f>
        <v/>
      </c>
      <c r="L69" s="267" t="str">
        <f>IF(S50*0.0036=0,"",S50*0.0036)</f>
        <v/>
      </c>
      <c r="M69" s="223">
        <f>IF(SUM(I69:L69)=0,"",SUM(I69:L69))</f>
        <v>53.046072000000002</v>
      </c>
      <c r="N69" s="270">
        <f>IF(SUM(E69:M69)=0,"",SUM(E69:M69))</f>
        <v>4618.1193977313433</v>
      </c>
    </row>
    <row r="70" spans="2:21" ht="18">
      <c r="B70" s="10" t="s">
        <v>279</v>
      </c>
      <c r="C70" s="80" t="str">
        <f t="shared" si="54"/>
        <v/>
      </c>
      <c r="D70" s="77" t="str">
        <f t="shared" si="55"/>
        <v/>
      </c>
      <c r="E70" s="77" t="str">
        <f t="shared" si="56"/>
        <v/>
      </c>
      <c r="F70" s="77" t="str">
        <f t="shared" si="57"/>
        <v/>
      </c>
      <c r="G70" s="268" t="str">
        <f t="shared" si="58"/>
        <v/>
      </c>
      <c r="H70" s="224" t="str">
        <f t="shared" ref="H70:H80" si="59">IF(SUM(C70:G70)=0,"",SUM(C70:G70))</f>
        <v/>
      </c>
      <c r="I70" s="77" t="str">
        <f t="shared" ref="I70:I80" si="60">IF(N51*2550*0.000004184*0.708=0,"",N51*2550*0.000004184*0.708)</f>
        <v/>
      </c>
      <c r="J70" s="268" t="str">
        <f t="shared" ref="J70:J80" si="61">IF(Q51*0.0036=0,"",Q51*0.0036)</f>
        <v/>
      </c>
      <c r="K70" s="268" t="str">
        <f t="shared" ref="K70:K77" si="62">IF(R51*0.0036=0,"",R51*0.0036)</f>
        <v/>
      </c>
      <c r="L70" s="268" t="str">
        <f t="shared" ref="L70:L80" si="63">IF(S51*0.0036=0,"",S51*0.0036)</f>
        <v/>
      </c>
      <c r="M70" s="224" t="str">
        <f>IF(SUM(I70:L70)=0,"",SUM(I70:L70))</f>
        <v/>
      </c>
      <c r="N70" s="271" t="str">
        <f t="shared" ref="N70:N80" si="64">IF(SUM(E70:M70)=0,"",SUM(E70:M70))</f>
        <v/>
      </c>
      <c r="Q70" s="2012" t="s">
        <v>406</v>
      </c>
      <c r="R70" s="2012"/>
      <c r="S70" s="2012"/>
      <c r="T70" s="2012"/>
      <c r="U70" s="2012"/>
    </row>
    <row r="71" spans="2:21" ht="18">
      <c r="B71" s="10" t="s">
        <v>280</v>
      </c>
      <c r="C71" s="80" t="str">
        <f t="shared" si="54"/>
        <v/>
      </c>
      <c r="D71" s="77" t="str">
        <f t="shared" si="55"/>
        <v/>
      </c>
      <c r="E71" s="77" t="str">
        <f t="shared" si="56"/>
        <v/>
      </c>
      <c r="F71" s="77" t="str">
        <f t="shared" si="57"/>
        <v/>
      </c>
      <c r="G71" s="268" t="str">
        <f t="shared" si="58"/>
        <v/>
      </c>
      <c r="H71" s="224" t="str">
        <f t="shared" si="59"/>
        <v/>
      </c>
      <c r="I71" s="77" t="str">
        <f t="shared" si="60"/>
        <v/>
      </c>
      <c r="J71" s="268" t="str">
        <f t="shared" si="61"/>
        <v/>
      </c>
      <c r="K71" s="268" t="str">
        <f t="shared" si="62"/>
        <v/>
      </c>
      <c r="L71" s="268" t="str">
        <f t="shared" si="63"/>
        <v/>
      </c>
      <c r="M71" s="224" t="str">
        <f t="shared" ref="M71:M80" si="65">IF(SUM(I71:L71)=0,"",SUM(I71:L71))</f>
        <v/>
      </c>
      <c r="N71" s="271" t="str">
        <f t="shared" si="64"/>
        <v/>
      </c>
      <c r="Q71" s="2012" t="s">
        <v>513</v>
      </c>
      <c r="R71" s="2012"/>
      <c r="S71" s="2012"/>
      <c r="T71" s="2012"/>
      <c r="U71" s="2012"/>
    </row>
    <row r="72" spans="2:21" ht="18">
      <c r="B72" s="10" t="s">
        <v>281</v>
      </c>
      <c r="C72" s="80" t="str">
        <f t="shared" si="54"/>
        <v/>
      </c>
      <c r="D72" s="77" t="str">
        <f t="shared" si="55"/>
        <v/>
      </c>
      <c r="E72" s="77" t="str">
        <f t="shared" si="56"/>
        <v/>
      </c>
      <c r="F72" s="77" t="str">
        <f t="shared" si="57"/>
        <v/>
      </c>
      <c r="G72" s="268" t="str">
        <f t="shared" si="58"/>
        <v/>
      </c>
      <c r="H72" s="224" t="str">
        <f t="shared" si="59"/>
        <v/>
      </c>
      <c r="I72" s="77" t="str">
        <f t="shared" si="60"/>
        <v/>
      </c>
      <c r="J72" s="268" t="str">
        <f t="shared" si="61"/>
        <v/>
      </c>
      <c r="K72" s="268" t="str">
        <f t="shared" si="62"/>
        <v/>
      </c>
      <c r="L72" s="268" t="str">
        <f t="shared" si="63"/>
        <v/>
      </c>
      <c r="M72" s="224" t="str">
        <f t="shared" si="65"/>
        <v/>
      </c>
      <c r="N72" s="271" t="str">
        <f t="shared" si="64"/>
        <v/>
      </c>
      <c r="Q72" s="2012" t="s">
        <v>514</v>
      </c>
      <c r="R72" s="2012"/>
      <c r="S72" s="2012"/>
      <c r="T72" s="2012"/>
      <c r="U72" s="2012"/>
    </row>
    <row r="73" spans="2:21" ht="18">
      <c r="B73" s="10" t="s">
        <v>132</v>
      </c>
      <c r="C73" s="80" t="str">
        <f t="shared" si="54"/>
        <v/>
      </c>
      <c r="D73" s="77" t="str">
        <f t="shared" si="55"/>
        <v/>
      </c>
      <c r="E73" s="77" t="str">
        <f t="shared" si="56"/>
        <v/>
      </c>
      <c r="F73" s="77" t="str">
        <f t="shared" si="57"/>
        <v/>
      </c>
      <c r="G73" s="268" t="str">
        <f t="shared" si="58"/>
        <v/>
      </c>
      <c r="H73" s="224" t="str">
        <f t="shared" si="59"/>
        <v/>
      </c>
      <c r="I73" s="77" t="str">
        <f t="shared" si="60"/>
        <v/>
      </c>
      <c r="J73" s="268" t="str">
        <f t="shared" si="61"/>
        <v/>
      </c>
      <c r="K73" s="268" t="str">
        <f t="shared" si="62"/>
        <v/>
      </c>
      <c r="L73" s="268" t="str">
        <f t="shared" si="63"/>
        <v/>
      </c>
      <c r="M73" s="224" t="str">
        <f t="shared" si="65"/>
        <v/>
      </c>
      <c r="N73" s="271" t="str">
        <f t="shared" si="64"/>
        <v/>
      </c>
      <c r="Q73" s="2012" t="s">
        <v>515</v>
      </c>
      <c r="R73" s="2012"/>
      <c r="S73" s="2012"/>
      <c r="T73" s="2012"/>
      <c r="U73" s="2012"/>
    </row>
    <row r="74" spans="2:21" ht="18">
      <c r="B74" s="10" t="s">
        <v>282</v>
      </c>
      <c r="C74" s="80" t="str">
        <f t="shared" si="54"/>
        <v/>
      </c>
      <c r="D74" s="77" t="str">
        <f t="shared" si="55"/>
        <v/>
      </c>
      <c r="E74" s="77" t="str">
        <f t="shared" si="56"/>
        <v/>
      </c>
      <c r="F74" s="77" t="str">
        <f t="shared" si="57"/>
        <v/>
      </c>
      <c r="G74" s="268" t="str">
        <f t="shared" si="58"/>
        <v/>
      </c>
      <c r="H74" s="224" t="str">
        <f t="shared" si="59"/>
        <v/>
      </c>
      <c r="I74" s="77" t="str">
        <f t="shared" si="60"/>
        <v/>
      </c>
      <c r="J74" s="268" t="str">
        <f t="shared" si="61"/>
        <v/>
      </c>
      <c r="K74" s="268" t="str">
        <f t="shared" si="62"/>
        <v/>
      </c>
      <c r="L74" s="268" t="str">
        <f t="shared" si="63"/>
        <v/>
      </c>
      <c r="M74" s="224" t="str">
        <f t="shared" si="65"/>
        <v/>
      </c>
      <c r="N74" s="271" t="str">
        <f t="shared" si="64"/>
        <v/>
      </c>
      <c r="Q74" s="2012" t="s">
        <v>516</v>
      </c>
      <c r="R74" s="2012"/>
      <c r="S74" s="2012"/>
      <c r="T74" s="2012"/>
      <c r="U74" s="2012"/>
    </row>
    <row r="75" spans="2:21" ht="18">
      <c r="B75" s="10" t="s">
        <v>283</v>
      </c>
      <c r="C75" s="80" t="str">
        <f t="shared" si="54"/>
        <v/>
      </c>
      <c r="D75" s="77" t="str">
        <f t="shared" si="55"/>
        <v/>
      </c>
      <c r="E75" s="77" t="str">
        <f t="shared" si="56"/>
        <v/>
      </c>
      <c r="F75" s="77" t="str">
        <f t="shared" si="57"/>
        <v/>
      </c>
      <c r="G75" s="268" t="str">
        <f t="shared" si="58"/>
        <v/>
      </c>
      <c r="H75" s="224" t="str">
        <f t="shared" si="59"/>
        <v/>
      </c>
      <c r="I75" s="77" t="str">
        <f t="shared" si="60"/>
        <v/>
      </c>
      <c r="J75" s="268" t="str">
        <f t="shared" si="61"/>
        <v/>
      </c>
      <c r="K75" s="268" t="str">
        <f t="shared" si="62"/>
        <v/>
      </c>
      <c r="L75" s="268" t="str">
        <f t="shared" si="63"/>
        <v/>
      </c>
      <c r="M75" s="224" t="str">
        <f t="shared" si="65"/>
        <v/>
      </c>
      <c r="N75" s="271" t="str">
        <f t="shared" si="64"/>
        <v/>
      </c>
      <c r="Q75" s="2012" t="s">
        <v>517</v>
      </c>
      <c r="R75" s="2012"/>
      <c r="S75" s="2012"/>
      <c r="T75" s="2012"/>
      <c r="U75" s="2012"/>
    </row>
    <row r="76" spans="2:21" ht="18">
      <c r="B76" s="10" t="s">
        <v>284</v>
      </c>
      <c r="C76" s="80" t="str">
        <f t="shared" si="54"/>
        <v/>
      </c>
      <c r="D76" s="77" t="str">
        <f t="shared" si="55"/>
        <v/>
      </c>
      <c r="E76" s="77" t="str">
        <f t="shared" si="56"/>
        <v/>
      </c>
      <c r="F76" s="77" t="str">
        <f t="shared" si="57"/>
        <v/>
      </c>
      <c r="G76" s="268" t="str">
        <f t="shared" si="58"/>
        <v/>
      </c>
      <c r="H76" s="224" t="str">
        <f t="shared" si="59"/>
        <v/>
      </c>
      <c r="I76" s="77" t="str">
        <f t="shared" si="60"/>
        <v/>
      </c>
      <c r="J76" s="268" t="str">
        <f t="shared" si="61"/>
        <v/>
      </c>
      <c r="K76" s="268" t="str">
        <f t="shared" si="62"/>
        <v/>
      </c>
      <c r="L76" s="268" t="str">
        <f t="shared" si="63"/>
        <v/>
      </c>
      <c r="M76" s="224" t="str">
        <f t="shared" si="65"/>
        <v/>
      </c>
      <c r="N76" s="271" t="str">
        <f t="shared" si="64"/>
        <v/>
      </c>
      <c r="Q76" s="2012" t="s">
        <v>518</v>
      </c>
      <c r="R76" s="2012"/>
      <c r="S76" s="2012"/>
      <c r="T76" s="2012"/>
      <c r="U76" s="2012"/>
    </row>
    <row r="77" spans="2:21" ht="18">
      <c r="B77" s="10" t="s">
        <v>285</v>
      </c>
      <c r="C77" s="80" t="str">
        <f t="shared" si="54"/>
        <v/>
      </c>
      <c r="D77" s="77" t="str">
        <f t="shared" si="55"/>
        <v/>
      </c>
      <c r="E77" s="77" t="str">
        <f t="shared" si="56"/>
        <v/>
      </c>
      <c r="F77" s="77" t="str">
        <f t="shared" si="57"/>
        <v/>
      </c>
      <c r="G77" s="268" t="str">
        <f t="shared" si="58"/>
        <v/>
      </c>
      <c r="H77" s="224" t="str">
        <f t="shared" si="59"/>
        <v/>
      </c>
      <c r="I77" s="77" t="str">
        <f t="shared" si="60"/>
        <v/>
      </c>
      <c r="J77" s="268" t="str">
        <f t="shared" si="61"/>
        <v/>
      </c>
      <c r="K77" s="268" t="str">
        <f t="shared" si="62"/>
        <v/>
      </c>
      <c r="L77" s="268" t="str">
        <f t="shared" si="63"/>
        <v/>
      </c>
      <c r="M77" s="224" t="str">
        <f t="shared" si="65"/>
        <v/>
      </c>
      <c r="N77" s="271" t="str">
        <f t="shared" si="64"/>
        <v/>
      </c>
      <c r="Q77" s="2012" t="s">
        <v>519</v>
      </c>
      <c r="R77" s="2012"/>
      <c r="S77" s="2012"/>
      <c r="T77" s="2012"/>
      <c r="U77" s="2012"/>
    </row>
    <row r="78" spans="2:21" ht="18">
      <c r="B78" s="10" t="s">
        <v>286</v>
      </c>
      <c r="C78" s="80" t="str">
        <f t="shared" si="54"/>
        <v/>
      </c>
      <c r="D78" s="77" t="str">
        <f t="shared" si="55"/>
        <v/>
      </c>
      <c r="E78" s="77" t="str">
        <f t="shared" si="56"/>
        <v/>
      </c>
      <c r="F78" s="77" t="str">
        <f t="shared" si="57"/>
        <v/>
      </c>
      <c r="G78" s="268" t="str">
        <f t="shared" si="58"/>
        <v/>
      </c>
      <c r="H78" s="224" t="str">
        <f t="shared" si="59"/>
        <v/>
      </c>
      <c r="I78" s="77" t="str">
        <f t="shared" si="60"/>
        <v/>
      </c>
      <c r="J78" s="268" t="str">
        <f t="shared" si="61"/>
        <v/>
      </c>
      <c r="K78" s="268" t="str">
        <f>IF(R59*0.0036=0,"",R59*0.0036)</f>
        <v/>
      </c>
      <c r="L78" s="268" t="str">
        <f t="shared" si="63"/>
        <v/>
      </c>
      <c r="M78" s="224" t="str">
        <f t="shared" si="65"/>
        <v/>
      </c>
      <c r="N78" s="271" t="str">
        <f t="shared" si="64"/>
        <v/>
      </c>
      <c r="Q78" s="2012" t="s">
        <v>520</v>
      </c>
      <c r="R78" s="2012"/>
      <c r="S78" s="2012"/>
      <c r="T78" s="2012"/>
      <c r="U78" s="2012"/>
    </row>
    <row r="79" spans="2:21" ht="18">
      <c r="B79" s="10" t="s">
        <v>287</v>
      </c>
      <c r="C79" s="80" t="str">
        <f t="shared" si="54"/>
        <v/>
      </c>
      <c r="D79" s="77" t="str">
        <f t="shared" si="55"/>
        <v/>
      </c>
      <c r="E79" s="77" t="str">
        <f t="shared" si="56"/>
        <v/>
      </c>
      <c r="F79" s="77" t="str">
        <f t="shared" si="57"/>
        <v/>
      </c>
      <c r="G79" s="268" t="str">
        <f t="shared" si="58"/>
        <v/>
      </c>
      <c r="H79" s="224" t="str">
        <f t="shared" si="59"/>
        <v/>
      </c>
      <c r="I79" s="77" t="str">
        <f t="shared" si="60"/>
        <v/>
      </c>
      <c r="J79" s="268" t="str">
        <f t="shared" si="61"/>
        <v/>
      </c>
      <c r="K79" s="268" t="str">
        <f>IF(R60*0.0036=0,"",R60*0.0036)</f>
        <v/>
      </c>
      <c r="L79" s="268" t="str">
        <f t="shared" si="63"/>
        <v/>
      </c>
      <c r="M79" s="224" t="str">
        <f t="shared" si="65"/>
        <v/>
      </c>
      <c r="N79" s="271" t="str">
        <f t="shared" si="64"/>
        <v/>
      </c>
      <c r="Q79" s="2012"/>
      <c r="R79" s="2012"/>
      <c r="S79" s="2012"/>
      <c r="T79" s="2012"/>
      <c r="U79" s="2012"/>
    </row>
    <row r="80" spans="2:21" ht="18.75" thickBot="1">
      <c r="B80" s="11" t="s">
        <v>288</v>
      </c>
      <c r="C80" s="94" t="str">
        <f t="shared" si="54"/>
        <v/>
      </c>
      <c r="D80" s="94" t="str">
        <f t="shared" si="55"/>
        <v/>
      </c>
      <c r="E80" s="94" t="str">
        <f t="shared" si="56"/>
        <v/>
      </c>
      <c r="F80" s="94" t="str">
        <f t="shared" si="57"/>
        <v/>
      </c>
      <c r="G80" s="269" t="str">
        <f t="shared" si="58"/>
        <v/>
      </c>
      <c r="H80" s="225" t="str">
        <f t="shared" si="59"/>
        <v/>
      </c>
      <c r="I80" s="94" t="str">
        <f t="shared" si="60"/>
        <v/>
      </c>
      <c r="J80" s="269" t="str">
        <f t="shared" si="61"/>
        <v/>
      </c>
      <c r="K80" s="269" t="str">
        <f t="shared" ref="K80" si="66">IF(R61*0.0036=0,"",R61*0.0036)</f>
        <v/>
      </c>
      <c r="L80" s="269" t="str">
        <f t="shared" si="63"/>
        <v/>
      </c>
      <c r="M80" s="225" t="str">
        <f t="shared" si="65"/>
        <v/>
      </c>
      <c r="N80" s="272" t="str">
        <f t="shared" si="64"/>
        <v/>
      </c>
      <c r="O80" s="88"/>
      <c r="P80" s="88"/>
      <c r="Q80" s="2012" t="s">
        <v>521</v>
      </c>
      <c r="R80" s="2012"/>
      <c r="S80" s="2012"/>
      <c r="T80" s="2012"/>
      <c r="U80" s="2012"/>
    </row>
    <row r="81" spans="2:14" ht="18.75" thickBot="1">
      <c r="B81" s="12" t="s">
        <v>334</v>
      </c>
      <c r="C81" s="79">
        <f t="shared" ref="C81:N81" si="67">IF(SUM(C69:C80)=0,"",SUM(C69:C80))</f>
        <v>879.678</v>
      </c>
      <c r="D81" s="79">
        <f t="shared" si="67"/>
        <v>3632.3492537313432</v>
      </c>
      <c r="E81" s="79" t="str">
        <f t="shared" si="67"/>
        <v/>
      </c>
      <c r="F81" s="79" t="str">
        <f t="shared" si="67"/>
        <v/>
      </c>
      <c r="G81" s="93" t="str">
        <f t="shared" si="67"/>
        <v/>
      </c>
      <c r="H81" s="226">
        <f t="shared" si="67"/>
        <v>4512.0272537313431</v>
      </c>
      <c r="I81" s="79" t="str">
        <f t="shared" si="67"/>
        <v/>
      </c>
      <c r="J81" s="93">
        <f t="shared" si="67"/>
        <v>53.046072000000002</v>
      </c>
      <c r="K81" s="93" t="str">
        <f t="shared" si="67"/>
        <v/>
      </c>
      <c r="L81" s="93" t="str">
        <f t="shared" si="67"/>
        <v/>
      </c>
      <c r="M81" s="226">
        <f t="shared" si="67"/>
        <v>53.046072000000002</v>
      </c>
      <c r="N81" s="273">
        <f t="shared" si="67"/>
        <v>4618.1193977313433</v>
      </c>
    </row>
    <row r="82" spans="2:14" ht="18.75" thickBot="1">
      <c r="B82" s="12" t="s">
        <v>428</v>
      </c>
      <c r="C82" s="79">
        <f t="shared" ref="C82:J82" si="68">IFERROR(AVERAGE(C69:C80),"")</f>
        <v>879.678</v>
      </c>
      <c r="D82" s="79">
        <f t="shared" si="68"/>
        <v>3632.3492537313432</v>
      </c>
      <c r="E82" s="79" t="str">
        <f t="shared" si="68"/>
        <v/>
      </c>
      <c r="F82" s="79" t="str">
        <f t="shared" si="68"/>
        <v/>
      </c>
      <c r="G82" s="79" t="str">
        <f t="shared" si="68"/>
        <v/>
      </c>
      <c r="H82" s="275">
        <f t="shared" si="68"/>
        <v>4512.0272537313431</v>
      </c>
      <c r="I82" s="79" t="str">
        <f t="shared" si="68"/>
        <v/>
      </c>
      <c r="J82" s="93">
        <f t="shared" si="68"/>
        <v>53.046072000000002</v>
      </c>
      <c r="K82" s="93" t="str">
        <f>IFERROR(AVERAGE(K69:K80),"")</f>
        <v/>
      </c>
      <c r="L82" s="93" t="str">
        <f t="shared" ref="L82:N82" si="69">IFERROR(AVERAGE(L69:L80),"")</f>
        <v/>
      </c>
      <c r="M82" s="226">
        <f t="shared" si="69"/>
        <v>53.046072000000002</v>
      </c>
      <c r="N82" s="273">
        <f t="shared" si="69"/>
        <v>4618.1193977313433</v>
      </c>
    </row>
  </sheetData>
  <mergeCells count="44">
    <mergeCell ref="L20:L21"/>
    <mergeCell ref="B25:H25"/>
    <mergeCell ref="I25:M25"/>
    <mergeCell ref="B24:N24"/>
    <mergeCell ref="N25:N26"/>
    <mergeCell ref="N5:T5"/>
    <mergeCell ref="K6:L6"/>
    <mergeCell ref="K5:L5"/>
    <mergeCell ref="B5:I5"/>
    <mergeCell ref="B6:B7"/>
    <mergeCell ref="A5:A6"/>
    <mergeCell ref="A47:A48"/>
    <mergeCell ref="B47:I47"/>
    <mergeCell ref="K47:L47"/>
    <mergeCell ref="N47:T47"/>
    <mergeCell ref="Q28:U28"/>
    <mergeCell ref="Q29:U29"/>
    <mergeCell ref="Q30:U30"/>
    <mergeCell ref="Q31:U31"/>
    <mergeCell ref="Q32:U32"/>
    <mergeCell ref="Q33:U33"/>
    <mergeCell ref="Q34:U34"/>
    <mergeCell ref="Q35:U35"/>
    <mergeCell ref="Q36:U36"/>
    <mergeCell ref="Q38:U38"/>
    <mergeCell ref="Q37:U37"/>
    <mergeCell ref="B48:B49"/>
    <mergeCell ref="K48:L48"/>
    <mergeCell ref="L62:L63"/>
    <mergeCell ref="B66:N66"/>
    <mergeCell ref="B67:H67"/>
    <mergeCell ref="I67:M67"/>
    <mergeCell ref="N67:N68"/>
    <mergeCell ref="Q70:U70"/>
    <mergeCell ref="Q71:U71"/>
    <mergeCell ref="Q72:U72"/>
    <mergeCell ref="Q73:U73"/>
    <mergeCell ref="Q74:U74"/>
    <mergeCell ref="Q80:U80"/>
    <mergeCell ref="Q75:U75"/>
    <mergeCell ref="Q76:U76"/>
    <mergeCell ref="Q77:U77"/>
    <mergeCell ref="Q78:U78"/>
    <mergeCell ref="Q79:U79"/>
  </mergeCells>
  <pageMargins left="0.7" right="0.7" top="0.75" bottom="0.75" header="0.3" footer="0.3"/>
  <pageSetup orientation="portrait" r:id="rId1"/>
  <ignoredErrors>
    <ignoredError sqref="L8:L19" unlockedFormula="1"/>
  </ignoredError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9FD16-8D68-4E98-8211-8FF455F5AFEA}">
  <dimension ref="A1:S46"/>
  <sheetViews>
    <sheetView showGridLines="0" zoomScale="85" zoomScaleNormal="85" workbookViewId="0">
      <pane xSplit="1" ySplit="3" topLeftCell="B4" activePane="bottomRight" state="frozen"/>
      <selection pane="topRight" activeCell="B1" sqref="B1"/>
      <selection pane="bottomLeft" activeCell="A4" sqref="A4"/>
      <selection pane="bottomRight"/>
    </sheetView>
  </sheetViews>
  <sheetFormatPr defaultColWidth="9.140625" defaultRowHeight="18"/>
  <cols>
    <col min="1" max="1" width="34.7109375" style="62" customWidth="1"/>
    <col min="2" max="2" width="10.140625" style="61" bestFit="1" customWidth="1"/>
    <col min="3" max="3" width="17.28515625" style="62" customWidth="1"/>
    <col min="4" max="5" width="17.85546875" style="62" customWidth="1"/>
    <col min="6" max="6" width="26.85546875" style="62" customWidth="1"/>
    <col min="7" max="8" width="17.85546875" style="62" customWidth="1"/>
    <col min="9" max="9" width="15.5703125" style="62" customWidth="1"/>
    <col min="10" max="10" width="18.42578125" style="62" customWidth="1"/>
    <col min="11" max="11" width="18.5703125" style="62" customWidth="1"/>
    <col min="12" max="12" width="15.28515625" style="62" bestFit="1" customWidth="1"/>
    <col min="13" max="15" width="15.28515625" style="62" customWidth="1"/>
    <col min="16" max="16" width="17.42578125" style="62" customWidth="1"/>
    <col min="17" max="17" width="16.28515625" style="62" customWidth="1"/>
    <col min="18" max="18" width="20.28515625" style="62" customWidth="1"/>
    <col min="19" max="19" width="28.5703125" style="62" bestFit="1" customWidth="1"/>
    <col min="20" max="16384" width="9.140625" style="62"/>
  </cols>
  <sheetData>
    <row r="1" spans="1:19" ht="28.5" customHeight="1"/>
    <row r="2" spans="1:19" ht="28.5" customHeight="1"/>
    <row r="3" spans="1:19" ht="28.5" customHeight="1"/>
    <row r="4" spans="1:19" ht="28.5" customHeight="1" thickBot="1">
      <c r="A4" s="2025">
        <v>2023</v>
      </c>
    </row>
    <row r="5" spans="1:19" ht="21.75" thickBot="1">
      <c r="A5" s="2025"/>
      <c r="B5" s="2026" t="s">
        <v>86</v>
      </c>
      <c r="C5" s="2027"/>
      <c r="D5" s="2027"/>
      <c r="E5" s="2027"/>
      <c r="F5" s="2027"/>
      <c r="G5" s="2027"/>
      <c r="H5" s="2027"/>
      <c r="I5" s="2027"/>
      <c r="J5" s="2027"/>
      <c r="K5" s="2027"/>
      <c r="L5" s="2027"/>
      <c r="M5" s="2027"/>
      <c r="N5" s="2027"/>
      <c r="O5" s="2027"/>
      <c r="P5" s="2027"/>
      <c r="Q5" s="2027"/>
      <c r="R5" s="2027"/>
      <c r="S5" s="2028"/>
    </row>
    <row r="6" spans="1:19" ht="19.5" thickBot="1">
      <c r="B6" s="2013" t="s">
        <v>121</v>
      </c>
      <c r="C6" s="2029" t="s">
        <v>522</v>
      </c>
      <c r="D6" s="2030"/>
      <c r="E6" s="2030"/>
      <c r="F6" s="2030"/>
      <c r="G6" s="2030"/>
      <c r="H6" s="2031"/>
      <c r="I6" s="2032" t="s">
        <v>523</v>
      </c>
      <c r="J6" s="2032"/>
      <c r="K6" s="2032"/>
      <c r="L6" s="2032"/>
      <c r="M6" s="2032"/>
      <c r="N6" s="2032"/>
      <c r="O6" s="2032"/>
      <c r="P6" s="2032"/>
      <c r="Q6" s="2032"/>
      <c r="R6" s="2024" t="s">
        <v>524</v>
      </c>
      <c r="S6" s="2024" t="s">
        <v>525</v>
      </c>
    </row>
    <row r="7" spans="1:19" ht="18.75" thickBot="1">
      <c r="B7" s="2013"/>
      <c r="C7" s="2024" t="s">
        <v>526</v>
      </c>
      <c r="D7" s="2024" t="s">
        <v>527</v>
      </c>
      <c r="E7" s="2033" t="s">
        <v>528</v>
      </c>
      <c r="F7" s="2034"/>
      <c r="G7" s="1997" t="s">
        <v>529</v>
      </c>
      <c r="H7" s="1997" t="s">
        <v>530</v>
      </c>
      <c r="I7" s="2013" t="s">
        <v>531</v>
      </c>
      <c r="J7" s="2013" t="s">
        <v>532</v>
      </c>
      <c r="K7" s="2013" t="s">
        <v>533</v>
      </c>
      <c r="L7" s="2024" t="s">
        <v>534</v>
      </c>
      <c r="M7" s="2024"/>
      <c r="N7" s="2024"/>
      <c r="O7" s="2024"/>
      <c r="P7" s="2024" t="s">
        <v>535</v>
      </c>
      <c r="Q7" s="2024" t="s">
        <v>334</v>
      </c>
      <c r="R7" s="2024"/>
      <c r="S7" s="2024"/>
    </row>
    <row r="8" spans="1:19" ht="54.75" thickBot="1">
      <c r="A8" s="1685" t="s">
        <v>536</v>
      </c>
      <c r="B8" s="2013"/>
      <c r="C8" s="2013"/>
      <c r="D8" s="2024"/>
      <c r="E8" s="68" t="s">
        <v>537</v>
      </c>
      <c r="F8" s="68" t="s">
        <v>538</v>
      </c>
      <c r="G8" s="1998"/>
      <c r="H8" s="1998"/>
      <c r="I8" s="2013"/>
      <c r="J8" s="2013"/>
      <c r="K8" s="2013"/>
      <c r="L8" s="68" t="s">
        <v>539</v>
      </c>
      <c r="M8" s="68" t="s">
        <v>540</v>
      </c>
      <c r="N8" s="68" t="s">
        <v>541</v>
      </c>
      <c r="O8" s="68" t="s">
        <v>542</v>
      </c>
      <c r="P8" s="2024"/>
      <c r="Q8" s="2024"/>
      <c r="R8" s="2024"/>
      <c r="S8" s="2024"/>
    </row>
    <row r="9" spans="1:19" ht="21">
      <c r="A9" s="1685" t="s">
        <v>543</v>
      </c>
      <c r="B9" s="64" t="s">
        <v>278</v>
      </c>
      <c r="C9" s="295">
        <v>0</v>
      </c>
      <c r="D9" s="295">
        <v>0</v>
      </c>
      <c r="E9" s="295">
        <v>0</v>
      </c>
      <c r="F9" s="295">
        <v>0</v>
      </c>
      <c r="G9" s="295">
        <f>'Recyclable Material'!E23</f>
        <v>37037.914000000004</v>
      </c>
      <c r="H9" s="296">
        <f>IF(SUM(D9:E9,G9)=0,"",SUM(D9:E9,G9))</f>
        <v>37037.914000000004</v>
      </c>
      <c r="I9" s="295">
        <f>'Chemical Consumption'!D5</f>
        <v>1488</v>
      </c>
      <c r="J9" s="295">
        <v>0</v>
      </c>
      <c r="K9" s="295">
        <f>'Chemical Consumption'!D8</f>
        <v>25688.992999999999</v>
      </c>
      <c r="L9" s="295">
        <v>0</v>
      </c>
      <c r="M9" s="295">
        <v>0</v>
      </c>
      <c r="N9" s="295">
        <f>'Chemical Consumption'!D10</f>
        <v>801.1</v>
      </c>
      <c r="O9" s="295">
        <f>'Chemical Consumption'!D11</f>
        <v>0</v>
      </c>
      <c r="P9" s="295">
        <f>'Chemical Consumption'!D9</f>
        <v>528</v>
      </c>
      <c r="Q9" s="302">
        <f>IF(SUM(I9:P9)=0,"",SUM(I9:P9))</f>
        <v>28506.092999999997</v>
      </c>
      <c r="R9" s="295"/>
      <c r="S9" s="295"/>
    </row>
    <row r="10" spans="1:19" ht="21">
      <c r="A10" s="1685" t="s">
        <v>254</v>
      </c>
      <c r="B10" s="65" t="s">
        <v>279</v>
      </c>
      <c r="C10" s="297">
        <v>0</v>
      </c>
      <c r="D10" s="297">
        <v>0</v>
      </c>
      <c r="E10" s="297">
        <v>0</v>
      </c>
      <c r="F10" s="297">
        <v>0</v>
      </c>
      <c r="G10" s="297">
        <f>'Recyclable Material'!F23</f>
        <v>27077.648999999998</v>
      </c>
      <c r="H10" s="298">
        <f t="shared" ref="H10:H21" si="0">IF(SUM(D10:E10,G10)=0,"",SUM(D10:E10,G10))</f>
        <v>27077.648999999998</v>
      </c>
      <c r="I10" s="297">
        <f>'Chemical Consumption'!E5</f>
        <v>931</v>
      </c>
      <c r="J10" s="297">
        <v>0</v>
      </c>
      <c r="K10" s="297">
        <f>'Chemical Consumption'!E8</f>
        <v>30119.599999999999</v>
      </c>
      <c r="L10" s="297">
        <v>0</v>
      </c>
      <c r="M10" s="297">
        <v>0</v>
      </c>
      <c r="N10" s="297">
        <f>'Chemical Consumption'!E10</f>
        <v>526</v>
      </c>
      <c r="O10" s="297">
        <f>'Chemical Consumption'!E11</f>
        <v>0</v>
      </c>
      <c r="P10" s="297">
        <f>'Chemical Consumption'!E9</f>
        <v>396</v>
      </c>
      <c r="Q10" s="303">
        <f t="shared" ref="Q10:Q20" si="1">IF(SUM(I10:P10)=0,"",SUM(I10:P10))</f>
        <v>31972.6</v>
      </c>
      <c r="R10" s="297"/>
      <c r="S10" s="297"/>
    </row>
    <row r="11" spans="1:19">
      <c r="B11" s="65" t="s">
        <v>280</v>
      </c>
      <c r="C11" s="297">
        <v>0</v>
      </c>
      <c r="D11" s="297">
        <v>0</v>
      </c>
      <c r="E11" s="297">
        <v>0</v>
      </c>
      <c r="F11" s="297">
        <v>0</v>
      </c>
      <c r="G11" s="297">
        <f>'Recyclable Material'!G23</f>
        <v>33009.529000000002</v>
      </c>
      <c r="H11" s="298">
        <f>IF(SUM(D11:E11,G11)=0,"",SUM(D11:E11,G11))</f>
        <v>33009.529000000002</v>
      </c>
      <c r="I11" s="297">
        <f>'Chemical Consumption'!F5</f>
        <v>1002</v>
      </c>
      <c r="J11" s="297">
        <v>0</v>
      </c>
      <c r="K11" s="297">
        <f>'Chemical Consumption'!F8</f>
        <v>60123.400999999998</v>
      </c>
      <c r="L11" s="297">
        <v>0</v>
      </c>
      <c r="M11" s="297">
        <v>0</v>
      </c>
      <c r="N11" s="297">
        <f>'Chemical Consumption'!F10</f>
        <v>654</v>
      </c>
      <c r="O11" s="297">
        <f>'Chemical Consumption'!F11</f>
        <v>0</v>
      </c>
      <c r="P11" s="297">
        <f>'Chemical Consumption'!F9</f>
        <v>374</v>
      </c>
      <c r="Q11" s="303">
        <f t="shared" si="1"/>
        <v>62153.400999999998</v>
      </c>
      <c r="R11" s="297"/>
      <c r="S11" s="297"/>
    </row>
    <row r="12" spans="1:19">
      <c r="B12" s="65" t="s">
        <v>281</v>
      </c>
      <c r="C12" s="297">
        <v>0</v>
      </c>
      <c r="D12" s="297">
        <v>0</v>
      </c>
      <c r="E12" s="297">
        <v>0</v>
      </c>
      <c r="F12" s="297">
        <v>0</v>
      </c>
      <c r="G12" s="297">
        <f>'Recyclable Material'!H23</f>
        <v>29471.654999999999</v>
      </c>
      <c r="H12" s="298">
        <f t="shared" si="0"/>
        <v>29471.654999999999</v>
      </c>
      <c r="I12" s="297">
        <f>'Chemical Consumption'!G5</f>
        <v>990</v>
      </c>
      <c r="J12" s="297">
        <v>0</v>
      </c>
      <c r="K12" s="297">
        <f>'Chemical Consumption'!G8</f>
        <v>30344.999</v>
      </c>
      <c r="L12" s="297">
        <v>0</v>
      </c>
      <c r="M12" s="297">
        <v>0</v>
      </c>
      <c r="N12" s="297">
        <f>'Chemical Consumption'!G10</f>
        <v>624.5</v>
      </c>
      <c r="O12" s="297" t="str">
        <f>'Chemical Consumption'!G11</f>
        <v>-</v>
      </c>
      <c r="P12" s="297">
        <f>'Chemical Consumption'!G9</f>
        <v>374</v>
      </c>
      <c r="Q12" s="303">
        <f t="shared" si="1"/>
        <v>32333.499</v>
      </c>
      <c r="R12" s="297"/>
      <c r="S12" s="297"/>
    </row>
    <row r="13" spans="1:19">
      <c r="B13" s="65" t="s">
        <v>132</v>
      </c>
      <c r="C13" s="297">
        <v>0</v>
      </c>
      <c r="D13" s="297">
        <v>0</v>
      </c>
      <c r="E13" s="297">
        <v>0</v>
      </c>
      <c r="F13" s="297">
        <v>0</v>
      </c>
      <c r="G13" s="297">
        <f>'Recyclable Material'!I23</f>
        <v>48284.78</v>
      </c>
      <c r="H13" s="298">
        <f t="shared" si="0"/>
        <v>48284.78</v>
      </c>
      <c r="I13" s="297">
        <f>'Chemical Consumption'!H5</f>
        <v>945</v>
      </c>
      <c r="J13" s="297">
        <v>0</v>
      </c>
      <c r="K13" s="297">
        <f>'Chemical Consumption'!H8</f>
        <v>37341.997000000003</v>
      </c>
      <c r="L13" s="297">
        <v>0</v>
      </c>
      <c r="M13" s="297">
        <v>0</v>
      </c>
      <c r="N13" s="297">
        <f>'Chemical Consumption'!H10</f>
        <v>518</v>
      </c>
      <c r="O13" s="297">
        <f>'Chemical Consumption'!H11</f>
        <v>179.5</v>
      </c>
      <c r="P13" s="297">
        <f>'Chemical Consumption'!H9</f>
        <v>396</v>
      </c>
      <c r="Q13" s="303">
        <f t="shared" si="1"/>
        <v>39380.497000000003</v>
      </c>
      <c r="R13" s="297"/>
      <c r="S13" s="297"/>
    </row>
    <row r="14" spans="1:19">
      <c r="B14" s="65" t="s">
        <v>282</v>
      </c>
      <c r="C14" s="297">
        <v>0</v>
      </c>
      <c r="D14" s="297">
        <v>0</v>
      </c>
      <c r="E14" s="297">
        <v>0</v>
      </c>
      <c r="F14" s="297">
        <v>0</v>
      </c>
      <c r="G14" s="297">
        <f>'Recyclable Material'!J23</f>
        <v>27457.198</v>
      </c>
      <c r="H14" s="298">
        <f t="shared" si="0"/>
        <v>27457.198</v>
      </c>
      <c r="I14" s="297">
        <f>'Chemical Consumption'!I5</f>
        <v>1592</v>
      </c>
      <c r="J14" s="297">
        <v>0</v>
      </c>
      <c r="K14" s="297">
        <f>'Chemical Consumption'!I8</f>
        <v>40408.004999999997</v>
      </c>
      <c r="L14" s="297">
        <v>0</v>
      </c>
      <c r="M14" s="297">
        <v>0</v>
      </c>
      <c r="N14" s="297">
        <f>'Chemical Consumption'!I10</f>
        <v>688.05</v>
      </c>
      <c r="O14" s="297">
        <f>'Chemical Consumption'!I11</f>
        <v>70.5</v>
      </c>
      <c r="P14" s="297">
        <f>'Chemical Consumption'!I9</f>
        <v>702</v>
      </c>
      <c r="Q14" s="303">
        <f t="shared" si="1"/>
        <v>43460.555</v>
      </c>
      <c r="R14" s="297"/>
      <c r="S14" s="297"/>
    </row>
    <row r="15" spans="1:19">
      <c r="B15" s="65" t="s">
        <v>283</v>
      </c>
      <c r="C15" s="297">
        <v>0</v>
      </c>
      <c r="D15" s="297">
        <v>0</v>
      </c>
      <c r="E15" s="297">
        <v>0</v>
      </c>
      <c r="F15" s="297">
        <v>0</v>
      </c>
      <c r="G15" s="483">
        <f>'Recyclable Material'!K23</f>
        <v>41020.957999999991</v>
      </c>
      <c r="H15" s="298">
        <f t="shared" si="0"/>
        <v>41020.957999999991</v>
      </c>
      <c r="I15" s="297">
        <f>'Chemical Consumption'!J5</f>
        <v>1273</v>
      </c>
      <c r="J15" s="297">
        <v>0</v>
      </c>
      <c r="K15" s="297">
        <f>'Chemical Consumption'!J8</f>
        <v>26590</v>
      </c>
      <c r="L15" s="297">
        <v>0</v>
      </c>
      <c r="M15" s="297">
        <v>0</v>
      </c>
      <c r="N15" s="297">
        <f>'Chemical Consumption'!J10</f>
        <v>748.5</v>
      </c>
      <c r="O15" s="297">
        <f>'Chemical Consumption'!J11</f>
        <v>0</v>
      </c>
      <c r="P15" s="297">
        <f>'Chemical Consumption'!J9</f>
        <v>468</v>
      </c>
      <c r="Q15" s="303">
        <f t="shared" si="1"/>
        <v>29079.5</v>
      </c>
      <c r="R15" s="297"/>
      <c r="S15" s="297"/>
    </row>
    <row r="16" spans="1:19">
      <c r="B16" s="65" t="s">
        <v>284</v>
      </c>
      <c r="C16" s="297">
        <v>0</v>
      </c>
      <c r="D16" s="297">
        <v>0</v>
      </c>
      <c r="E16" s="297">
        <v>0</v>
      </c>
      <c r="F16" s="297">
        <v>0</v>
      </c>
      <c r="G16" s="483">
        <f>'Recyclable Material'!L23</f>
        <v>33468.288999999953</v>
      </c>
      <c r="H16" s="298">
        <f t="shared" si="0"/>
        <v>33468.288999999953</v>
      </c>
      <c r="I16" s="297">
        <f>'Chemical Consumption'!K5</f>
        <v>1458.279</v>
      </c>
      <c r="J16" s="297">
        <v>0</v>
      </c>
      <c r="K16" s="297">
        <f>'Chemical Consumption'!K8</f>
        <v>28936.252</v>
      </c>
      <c r="L16" s="297">
        <v>0</v>
      </c>
      <c r="M16" s="297">
        <v>0</v>
      </c>
      <c r="N16" s="297">
        <f>'Chemical Consumption'!K10</f>
        <v>719</v>
      </c>
      <c r="O16" s="297">
        <f>'Chemical Consumption'!K11</f>
        <v>0</v>
      </c>
      <c r="P16" s="297">
        <f>'Chemical Consumption'!K9</f>
        <v>550</v>
      </c>
      <c r="Q16" s="303">
        <f t="shared" si="1"/>
        <v>31663.530999999999</v>
      </c>
      <c r="R16" s="297"/>
      <c r="S16" s="297"/>
    </row>
    <row r="17" spans="1:19">
      <c r="B17" s="65" t="s">
        <v>285</v>
      </c>
      <c r="C17" s="297">
        <v>0</v>
      </c>
      <c r="D17" s="297">
        <v>0</v>
      </c>
      <c r="E17" s="297">
        <v>0</v>
      </c>
      <c r="F17" s="297">
        <v>0</v>
      </c>
      <c r="G17" s="483">
        <f>'Recyclable Material'!M23</f>
        <v>17465.745999999981</v>
      </c>
      <c r="H17" s="298">
        <f t="shared" si="0"/>
        <v>17465.745999999981</v>
      </c>
      <c r="I17" s="297">
        <f>'Chemical Consumption'!L5</f>
        <v>1780</v>
      </c>
      <c r="J17" s="297">
        <v>0</v>
      </c>
      <c r="K17" s="297">
        <f>'Chemical Consumption'!L8</f>
        <v>33553.468999999997</v>
      </c>
      <c r="L17" s="297">
        <v>0</v>
      </c>
      <c r="M17" s="297">
        <v>0</v>
      </c>
      <c r="N17" s="297">
        <f>'Chemical Consumption'!L10</f>
        <v>933</v>
      </c>
      <c r="O17" s="297">
        <f>'Chemical Consumption'!L11</f>
        <v>0</v>
      </c>
      <c r="P17" s="297">
        <f>'Chemical Consumption'!L9</f>
        <v>770</v>
      </c>
      <c r="Q17" s="303">
        <f t="shared" si="1"/>
        <v>37036.468999999997</v>
      </c>
      <c r="R17" s="297"/>
      <c r="S17" s="297"/>
    </row>
    <row r="18" spans="1:19">
      <c r="B18" s="65" t="s">
        <v>286</v>
      </c>
      <c r="C18" s="297">
        <v>0</v>
      </c>
      <c r="D18" s="297">
        <v>0</v>
      </c>
      <c r="E18" s="297">
        <v>0</v>
      </c>
      <c r="F18" s="297">
        <v>0</v>
      </c>
      <c r="G18" s="483">
        <f>'Recyclable Material'!N23</f>
        <v>28528.606999999978</v>
      </c>
      <c r="H18" s="298">
        <f>IF(SUM(D18:E18,G18)=0,"",SUM(D18:E18,G18))</f>
        <v>28528.606999999978</v>
      </c>
      <c r="I18" s="297">
        <f>'Chemical Consumption'!M5</f>
        <v>1820</v>
      </c>
      <c r="J18" s="297">
        <v>0</v>
      </c>
      <c r="K18" s="297">
        <f>'Chemical Consumption'!M8</f>
        <v>37520.779000000002</v>
      </c>
      <c r="L18" s="297">
        <v>0</v>
      </c>
      <c r="M18" s="297">
        <v>0</v>
      </c>
      <c r="N18" s="297">
        <f>'Chemical Consumption'!M10</f>
        <v>823</v>
      </c>
      <c r="O18" s="297">
        <f>'Chemical Consumption'!M11</f>
        <v>0</v>
      </c>
      <c r="P18" s="297">
        <f>'Chemical Consumption'!M9</f>
        <v>748</v>
      </c>
      <c r="Q18" s="303">
        <f t="shared" si="1"/>
        <v>40911.779000000002</v>
      </c>
      <c r="R18" s="297"/>
      <c r="S18" s="297"/>
    </row>
    <row r="19" spans="1:19">
      <c r="B19" s="65" t="s">
        <v>287</v>
      </c>
      <c r="C19" s="297">
        <v>0</v>
      </c>
      <c r="D19" s="297">
        <v>0</v>
      </c>
      <c r="E19" s="297">
        <v>0</v>
      </c>
      <c r="F19" s="297">
        <v>0</v>
      </c>
      <c r="G19" s="297">
        <f>'Recyclable Material'!O23</f>
        <v>36144.563999999998</v>
      </c>
      <c r="H19" s="298">
        <f>IF(SUM(D19:E19,G19)=0,"",SUM(D19:E19,G19))</f>
        <v>36144.563999999998</v>
      </c>
      <c r="I19" s="297">
        <f>'Chemical Consumption'!N5</f>
        <v>915</v>
      </c>
      <c r="J19" s="297">
        <v>0</v>
      </c>
      <c r="K19" s="297">
        <f>'Chemical Consumption'!N8</f>
        <v>45399.8</v>
      </c>
      <c r="L19" s="297">
        <v>0</v>
      </c>
      <c r="M19" s="297">
        <v>0</v>
      </c>
      <c r="N19" s="297">
        <f>'Chemical Consumption'!N10</f>
        <v>949.35</v>
      </c>
      <c r="O19" s="297">
        <f>'Chemical Consumption'!N11</f>
        <v>66.75</v>
      </c>
      <c r="P19" s="297">
        <f>'Chemical Consumption'!N9</f>
        <v>440</v>
      </c>
      <c r="Q19" s="303">
        <f t="shared" si="1"/>
        <v>47770.9</v>
      </c>
      <c r="R19" s="297"/>
      <c r="S19" s="297"/>
    </row>
    <row r="20" spans="1:19" ht="18.75" thickBot="1">
      <c r="B20" s="66" t="s">
        <v>288</v>
      </c>
      <c r="C20" s="297">
        <v>0</v>
      </c>
      <c r="D20" s="297">
        <v>0</v>
      </c>
      <c r="E20" s="297">
        <v>0</v>
      </c>
      <c r="F20" s="297">
        <v>0</v>
      </c>
      <c r="G20" s="297">
        <f>'Recyclable Material'!P23</f>
        <v>28848.68</v>
      </c>
      <c r="H20" s="300">
        <f t="shared" si="0"/>
        <v>28848.68</v>
      </c>
      <c r="I20" s="299">
        <f>'Chemical Consumption'!O5</f>
        <v>1846.72</v>
      </c>
      <c r="J20" s="299">
        <v>0</v>
      </c>
      <c r="K20" s="299">
        <f>'Chemical Consumption'!O8</f>
        <v>30257.1</v>
      </c>
      <c r="L20" s="299">
        <v>0</v>
      </c>
      <c r="M20" s="299">
        <v>0</v>
      </c>
      <c r="N20" s="299">
        <f>'Chemical Consumption'!O10</f>
        <v>898.5</v>
      </c>
      <c r="O20" s="299">
        <f>'Chemical Consumption'!O11</f>
        <v>63.774999999999999</v>
      </c>
      <c r="P20" s="299">
        <f>'Chemical Consumption'!O9</f>
        <v>682</v>
      </c>
      <c r="Q20" s="304">
        <f t="shared" si="1"/>
        <v>33748.095000000001</v>
      </c>
      <c r="R20" s="299"/>
      <c r="S20" s="299"/>
    </row>
    <row r="21" spans="1:19" ht="18.75" thickBot="1">
      <c r="B21" s="63" t="s">
        <v>334</v>
      </c>
      <c r="C21" s="301" t="str">
        <f>IF(SUM(C9:C20)=0,"",SUM(C9:C20))</f>
        <v/>
      </c>
      <c r="D21" s="301" t="str">
        <f t="shared" ref="D21:S21" si="2">IF(SUM(D9:D20)=0,"",SUM(D9:D20))</f>
        <v/>
      </c>
      <c r="E21" s="301" t="str">
        <f t="shared" si="2"/>
        <v/>
      </c>
      <c r="F21" s="301" t="str">
        <f t="shared" si="2"/>
        <v/>
      </c>
      <c r="G21" s="301">
        <f t="shared" si="2"/>
        <v>387815.5689999999</v>
      </c>
      <c r="H21" s="301">
        <f t="shared" si="0"/>
        <v>387815.5689999999</v>
      </c>
      <c r="I21" s="301">
        <f t="shared" si="2"/>
        <v>16040.999</v>
      </c>
      <c r="J21" s="301" t="str">
        <f t="shared" si="2"/>
        <v/>
      </c>
      <c r="K21" s="301">
        <f t="shared" si="2"/>
        <v>426284.3949999999</v>
      </c>
      <c r="L21" s="301" t="str">
        <f t="shared" si="2"/>
        <v/>
      </c>
      <c r="M21" s="301"/>
      <c r="N21" s="301">
        <f t="shared" si="2"/>
        <v>8883</v>
      </c>
      <c r="O21" s="301">
        <f t="shared" si="2"/>
        <v>380.52499999999998</v>
      </c>
      <c r="P21" s="301">
        <f t="shared" si="2"/>
        <v>6428</v>
      </c>
      <c r="Q21" s="301">
        <f t="shared" si="2"/>
        <v>458016.91899999999</v>
      </c>
      <c r="R21" s="301" t="str">
        <f t="shared" si="2"/>
        <v/>
      </c>
      <c r="S21" s="301" t="str">
        <f t="shared" si="2"/>
        <v/>
      </c>
    </row>
    <row r="22" spans="1:19" ht="18.75" thickBot="1">
      <c r="B22" s="45" t="s">
        <v>335</v>
      </c>
      <c r="C22" s="301">
        <f>IFERROR(AVERAGE(C9:C20),"")</f>
        <v>0</v>
      </c>
      <c r="D22" s="301">
        <f t="shared" ref="D22:S22" si="3">IFERROR(AVERAGE(D9:D20),"")</f>
        <v>0</v>
      </c>
      <c r="E22" s="301">
        <f t="shared" si="3"/>
        <v>0</v>
      </c>
      <c r="F22" s="301">
        <f t="shared" si="3"/>
        <v>0</v>
      </c>
      <c r="G22" s="301">
        <f t="shared" si="3"/>
        <v>32317.964083333325</v>
      </c>
      <c r="H22" s="301">
        <f t="shared" si="3"/>
        <v>32317.964083333325</v>
      </c>
      <c r="I22" s="301">
        <f t="shared" si="3"/>
        <v>1336.7499166666666</v>
      </c>
      <c r="J22" s="301">
        <f t="shared" si="3"/>
        <v>0</v>
      </c>
      <c r="K22" s="301">
        <f t="shared" si="3"/>
        <v>35523.699583333328</v>
      </c>
      <c r="L22" s="301">
        <f t="shared" si="3"/>
        <v>0</v>
      </c>
      <c r="M22" s="301"/>
      <c r="N22" s="301">
        <f t="shared" si="3"/>
        <v>740.25</v>
      </c>
      <c r="O22" s="301">
        <f t="shared" si="3"/>
        <v>34.593181818181819</v>
      </c>
      <c r="P22" s="301">
        <f t="shared" si="3"/>
        <v>535.66666666666663</v>
      </c>
      <c r="Q22" s="301">
        <f t="shared" si="3"/>
        <v>38168.076583333335</v>
      </c>
      <c r="R22" s="301" t="str">
        <f t="shared" si="3"/>
        <v/>
      </c>
      <c r="S22" s="301" t="str">
        <f t="shared" si="3"/>
        <v/>
      </c>
    </row>
    <row r="24" spans="1:19">
      <c r="I24" s="448"/>
      <c r="J24" s="448"/>
      <c r="K24" s="448"/>
      <c r="L24" s="448"/>
      <c r="M24" s="448"/>
      <c r="N24" s="448"/>
      <c r="O24" s="448"/>
      <c r="P24" s="448"/>
      <c r="Q24" s="448"/>
    </row>
    <row r="25" spans="1:19">
      <c r="I25" s="448"/>
      <c r="J25" s="448"/>
      <c r="K25" s="448"/>
      <c r="L25" s="448"/>
      <c r="M25" s="448"/>
      <c r="N25" s="448"/>
      <c r="O25" s="448"/>
      <c r="P25" s="448"/>
      <c r="Q25" s="448"/>
    </row>
    <row r="26" spans="1:19">
      <c r="H26" s="448"/>
      <c r="I26" s="448"/>
      <c r="J26" s="448"/>
      <c r="K26" s="448"/>
      <c r="L26" s="448"/>
      <c r="M26" s="448"/>
      <c r="N26" s="448"/>
      <c r="O26" s="448"/>
      <c r="P26" s="448"/>
    </row>
    <row r="27" spans="1:19">
      <c r="N27" s="448"/>
    </row>
    <row r="28" spans="1:19" ht="18.75" thickBot="1"/>
    <row r="29" spans="1:19" ht="21.75" thickBot="1">
      <c r="A29" s="2000">
        <v>2024</v>
      </c>
      <c r="B29" s="2026" t="s">
        <v>86</v>
      </c>
      <c r="C29" s="2027"/>
      <c r="D29" s="2027"/>
      <c r="E29" s="2027"/>
      <c r="F29" s="2027"/>
      <c r="G29" s="2027"/>
      <c r="H29" s="2027"/>
      <c r="I29" s="2027"/>
      <c r="J29" s="2027"/>
      <c r="K29" s="2027"/>
      <c r="L29" s="2027"/>
      <c r="M29" s="2027"/>
      <c r="N29" s="2027"/>
      <c r="O29" s="2027"/>
      <c r="P29" s="2027"/>
      <c r="Q29" s="2027"/>
      <c r="R29" s="2027"/>
      <c r="S29" s="2028"/>
    </row>
    <row r="30" spans="1:19" ht="19.5" thickBot="1">
      <c r="A30" s="2000"/>
      <c r="B30" s="2013" t="s">
        <v>121</v>
      </c>
      <c r="C30" s="2029" t="s">
        <v>522</v>
      </c>
      <c r="D30" s="2030"/>
      <c r="E30" s="2030"/>
      <c r="F30" s="2030"/>
      <c r="G30" s="2030"/>
      <c r="H30" s="2031"/>
      <c r="I30" s="2032" t="s">
        <v>523</v>
      </c>
      <c r="J30" s="2032"/>
      <c r="K30" s="2032"/>
      <c r="L30" s="2032"/>
      <c r="M30" s="2032"/>
      <c r="N30" s="2032"/>
      <c r="O30" s="2032"/>
      <c r="P30" s="2032"/>
      <c r="Q30" s="2032"/>
      <c r="R30" s="2024" t="s">
        <v>524</v>
      </c>
      <c r="S30" s="2024" t="s">
        <v>525</v>
      </c>
    </row>
    <row r="31" spans="1:19" ht="18.75" thickBot="1">
      <c r="B31" s="2013"/>
      <c r="C31" s="2024" t="s">
        <v>526</v>
      </c>
      <c r="D31" s="2024" t="s">
        <v>527</v>
      </c>
      <c r="E31" s="2033" t="s">
        <v>528</v>
      </c>
      <c r="F31" s="2034"/>
      <c r="G31" s="1997" t="s">
        <v>529</v>
      </c>
      <c r="H31" s="1997" t="s">
        <v>530</v>
      </c>
      <c r="I31" s="2013" t="s">
        <v>531</v>
      </c>
      <c r="J31" s="2013" t="s">
        <v>532</v>
      </c>
      <c r="K31" s="2013" t="s">
        <v>533</v>
      </c>
      <c r="L31" s="2024" t="s">
        <v>534</v>
      </c>
      <c r="M31" s="2024"/>
      <c r="N31" s="2024"/>
      <c r="O31" s="2024"/>
      <c r="P31" s="2024" t="s">
        <v>535</v>
      </c>
      <c r="Q31" s="2024" t="s">
        <v>334</v>
      </c>
      <c r="R31" s="2024"/>
      <c r="S31" s="2024"/>
    </row>
    <row r="32" spans="1:19" ht="54.75" thickBot="1">
      <c r="A32" s="1685" t="s">
        <v>536</v>
      </c>
      <c r="B32" s="2013"/>
      <c r="C32" s="2013"/>
      <c r="D32" s="2024"/>
      <c r="E32" s="68" t="s">
        <v>537</v>
      </c>
      <c r="F32" s="68" t="s">
        <v>538</v>
      </c>
      <c r="G32" s="1998"/>
      <c r="H32" s="1998"/>
      <c r="I32" s="2013"/>
      <c r="J32" s="2013"/>
      <c r="K32" s="2013"/>
      <c r="L32" s="68" t="s">
        <v>539</v>
      </c>
      <c r="M32" s="68" t="s">
        <v>540</v>
      </c>
      <c r="N32" s="68" t="s">
        <v>541</v>
      </c>
      <c r="O32" s="68" t="s">
        <v>542</v>
      </c>
      <c r="P32" s="2024"/>
      <c r="Q32" s="2024"/>
      <c r="R32" s="2024"/>
      <c r="S32" s="2024"/>
    </row>
    <row r="33" spans="1:19" ht="21">
      <c r="A33" s="1685" t="s">
        <v>543</v>
      </c>
      <c r="B33" s="64" t="s">
        <v>278</v>
      </c>
      <c r="C33" s="295">
        <v>0</v>
      </c>
      <c r="D33" s="295">
        <v>0</v>
      </c>
      <c r="E33" s="295">
        <v>0</v>
      </c>
      <c r="F33" s="295">
        <v>0</v>
      </c>
      <c r="G33" s="295">
        <f>'Recyclable Material'!E52</f>
        <v>38881.78</v>
      </c>
      <c r="H33" s="296">
        <f>IF(SUM(D33:E33,G33)=0,"",SUM(D33:E33,G33))</f>
        <v>38881.78</v>
      </c>
      <c r="I33" s="295">
        <f>'Chemical Consumption'!D24</f>
        <v>1515</v>
      </c>
      <c r="J33" s="295"/>
      <c r="K33" s="295">
        <f>'Chemical Consumption'!D27</f>
        <v>32949.760000000002</v>
      </c>
      <c r="L33" s="295">
        <f>'Chemical Consumption'!D25</f>
        <v>0</v>
      </c>
      <c r="M33" s="295">
        <f>'Chemical Consumption'!D26</f>
        <v>0</v>
      </c>
      <c r="N33" s="295">
        <f>'Chemical Consumption'!D29</f>
        <v>1071.7750000000001</v>
      </c>
      <c r="O33" s="295">
        <f>'Chemical Consumption'!D30</f>
        <v>201.47499999999999</v>
      </c>
      <c r="P33" s="295">
        <f>'Chemical Consumption'!D28</f>
        <v>528</v>
      </c>
      <c r="Q33" s="302">
        <f>IF(SUM(I33:P33)=0,"",SUM(I33:P33))</f>
        <v>36266.01</v>
      </c>
      <c r="R33" s="295"/>
      <c r="S33" s="295"/>
    </row>
    <row r="34" spans="1:19" ht="21">
      <c r="A34" s="1685" t="s">
        <v>254</v>
      </c>
      <c r="B34" s="65" t="s">
        <v>279</v>
      </c>
      <c r="C34" s="297">
        <v>0</v>
      </c>
      <c r="D34" s="297">
        <v>0</v>
      </c>
      <c r="E34" s="297">
        <v>0</v>
      </c>
      <c r="F34" s="297">
        <v>0</v>
      </c>
      <c r="G34" s="297">
        <f>'Recyclable Material'!F52</f>
        <v>0</v>
      </c>
      <c r="H34" s="298" t="str">
        <f t="shared" ref="H34" si="4">IF(SUM(D34:E34,G34)=0,"",SUM(D34:E34,G34))</f>
        <v/>
      </c>
      <c r="I34" s="297">
        <f>'Chemical Consumption'!E24</f>
        <v>0</v>
      </c>
      <c r="J34" s="297"/>
      <c r="K34" s="297">
        <f>'Chemical Consumption'!E27</f>
        <v>0</v>
      </c>
      <c r="L34" s="297">
        <f>'Chemical Consumption'!E25</f>
        <v>0</v>
      </c>
      <c r="M34" s="297">
        <f>'Chemical Consumption'!E26</f>
        <v>0</v>
      </c>
      <c r="N34" s="297">
        <f>'Chemical Consumption'!E29</f>
        <v>0</v>
      </c>
      <c r="O34" s="297">
        <f>'Chemical Consumption'!E30</f>
        <v>0</v>
      </c>
      <c r="P34" s="297">
        <f>'Chemical Consumption'!E28</f>
        <v>0</v>
      </c>
      <c r="Q34" s="303" t="str">
        <f t="shared" ref="Q34:Q44" si="5">IF(SUM(I34:P34)=0,"",SUM(I34:P34))</f>
        <v/>
      </c>
      <c r="R34" s="297"/>
      <c r="S34" s="297"/>
    </row>
    <row r="35" spans="1:19">
      <c r="B35" s="65" t="s">
        <v>280</v>
      </c>
      <c r="C35" s="297">
        <v>0</v>
      </c>
      <c r="D35" s="297">
        <v>0</v>
      </c>
      <c r="E35" s="297">
        <v>0</v>
      </c>
      <c r="F35" s="297">
        <v>0</v>
      </c>
      <c r="G35" s="297">
        <f>'Recyclable Material'!G52</f>
        <v>0</v>
      </c>
      <c r="H35" s="298" t="str">
        <f>IF(SUM(D35:E35,G35)=0,"",SUM(D35:E35,G35))</f>
        <v/>
      </c>
      <c r="I35" s="297">
        <f>'Chemical Consumption'!F24</f>
        <v>0</v>
      </c>
      <c r="J35" s="297"/>
      <c r="K35" s="297">
        <f>'Chemical Consumption'!F27</f>
        <v>0</v>
      </c>
      <c r="L35" s="297">
        <f>'Chemical Consumption'!F25</f>
        <v>0</v>
      </c>
      <c r="M35" s="297">
        <f>'Chemical Consumption'!F26</f>
        <v>0</v>
      </c>
      <c r="N35" s="297">
        <f>'Chemical Consumption'!F29</f>
        <v>0</v>
      </c>
      <c r="O35" s="297">
        <f>'Chemical Consumption'!F30</f>
        <v>0</v>
      </c>
      <c r="P35" s="297">
        <f>'Chemical Consumption'!F28</f>
        <v>0</v>
      </c>
      <c r="Q35" s="303" t="str">
        <f t="shared" si="5"/>
        <v/>
      </c>
      <c r="R35" s="297"/>
      <c r="S35" s="297"/>
    </row>
    <row r="36" spans="1:19">
      <c r="B36" s="65" t="s">
        <v>281</v>
      </c>
      <c r="C36" s="297">
        <v>0</v>
      </c>
      <c r="D36" s="297">
        <v>0</v>
      </c>
      <c r="E36" s="297">
        <v>0</v>
      </c>
      <c r="F36" s="297">
        <v>0</v>
      </c>
      <c r="G36" s="297">
        <f>'Recyclable Material'!H52</f>
        <v>0</v>
      </c>
      <c r="H36" s="298" t="str">
        <f t="shared" ref="H36:H41" si="6">IF(SUM(D36:E36,G36)=0,"",SUM(D36:E36,G36))</f>
        <v/>
      </c>
      <c r="I36" s="297">
        <f>'Chemical Consumption'!G24</f>
        <v>0</v>
      </c>
      <c r="J36" s="297"/>
      <c r="K36" s="297">
        <f>'Chemical Consumption'!G27</f>
        <v>0</v>
      </c>
      <c r="L36" s="297">
        <f>'Chemical Consumption'!G25</f>
        <v>0</v>
      </c>
      <c r="M36" s="297">
        <f>'Chemical Consumption'!G26</f>
        <v>0</v>
      </c>
      <c r="N36" s="297">
        <f>'Chemical Consumption'!G29</f>
        <v>0</v>
      </c>
      <c r="O36" s="297">
        <f>'Chemical Consumption'!G30</f>
        <v>0</v>
      </c>
      <c r="P36" s="297">
        <f>'Chemical Consumption'!G28</f>
        <v>0</v>
      </c>
      <c r="Q36" s="303" t="str">
        <f t="shared" si="5"/>
        <v/>
      </c>
      <c r="R36" s="297"/>
      <c r="S36" s="297"/>
    </row>
    <row r="37" spans="1:19">
      <c r="B37" s="65" t="s">
        <v>132</v>
      </c>
      <c r="C37" s="297">
        <v>0</v>
      </c>
      <c r="D37" s="297">
        <v>0</v>
      </c>
      <c r="E37" s="297">
        <v>0</v>
      </c>
      <c r="F37" s="297">
        <v>0</v>
      </c>
      <c r="G37" s="297">
        <f>'Recyclable Material'!I52</f>
        <v>0</v>
      </c>
      <c r="H37" s="298" t="str">
        <f t="shared" si="6"/>
        <v/>
      </c>
      <c r="I37" s="297">
        <f>'Chemical Consumption'!H24</f>
        <v>0</v>
      </c>
      <c r="J37" s="297"/>
      <c r="K37" s="297">
        <f>'Chemical Consumption'!H27</f>
        <v>0</v>
      </c>
      <c r="L37" s="297">
        <f>'Chemical Consumption'!H25</f>
        <v>0</v>
      </c>
      <c r="M37" s="297">
        <f>'Chemical Consumption'!H26</f>
        <v>0</v>
      </c>
      <c r="N37" s="297">
        <f>'Chemical Consumption'!H29</f>
        <v>0</v>
      </c>
      <c r="O37" s="297">
        <f>'Chemical Consumption'!H30</f>
        <v>0</v>
      </c>
      <c r="P37" s="297">
        <f>'Chemical Consumption'!H28</f>
        <v>0</v>
      </c>
      <c r="Q37" s="303" t="str">
        <f t="shared" si="5"/>
        <v/>
      </c>
      <c r="R37" s="297"/>
      <c r="S37" s="297"/>
    </row>
    <row r="38" spans="1:19">
      <c r="B38" s="65" t="s">
        <v>282</v>
      </c>
      <c r="C38" s="297">
        <v>0</v>
      </c>
      <c r="D38" s="297">
        <v>0</v>
      </c>
      <c r="E38" s="297">
        <v>0</v>
      </c>
      <c r="F38" s="297">
        <v>0</v>
      </c>
      <c r="G38" s="297">
        <f>'Recyclable Material'!J52</f>
        <v>0</v>
      </c>
      <c r="H38" s="298" t="str">
        <f t="shared" si="6"/>
        <v/>
      </c>
      <c r="I38" s="297">
        <f>'Chemical Consumption'!I24</f>
        <v>0</v>
      </c>
      <c r="J38" s="297"/>
      <c r="K38" s="297">
        <f>'Chemical Consumption'!I27</f>
        <v>0</v>
      </c>
      <c r="L38" s="297">
        <f>'Chemical Consumption'!I25</f>
        <v>0</v>
      </c>
      <c r="M38" s="297">
        <f>'Chemical Consumption'!I26</f>
        <v>0</v>
      </c>
      <c r="N38" s="297">
        <f>'Chemical Consumption'!I29</f>
        <v>0</v>
      </c>
      <c r="O38" s="297">
        <f>'Chemical Consumption'!I30</f>
        <v>0</v>
      </c>
      <c r="P38" s="297">
        <f>'Chemical Consumption'!I28</f>
        <v>0</v>
      </c>
      <c r="Q38" s="303" t="str">
        <f t="shared" si="5"/>
        <v/>
      </c>
      <c r="R38" s="297"/>
      <c r="S38" s="297"/>
    </row>
    <row r="39" spans="1:19">
      <c r="B39" s="65" t="s">
        <v>283</v>
      </c>
      <c r="C39" s="297">
        <v>0</v>
      </c>
      <c r="D39" s="297">
        <v>0</v>
      </c>
      <c r="E39" s="297">
        <v>0</v>
      </c>
      <c r="F39" s="297">
        <v>0</v>
      </c>
      <c r="G39" s="297">
        <f>'Recyclable Material'!K52</f>
        <v>0</v>
      </c>
      <c r="H39" s="298" t="str">
        <f t="shared" si="6"/>
        <v/>
      </c>
      <c r="I39" s="297">
        <f>'Chemical Consumption'!J24</f>
        <v>0</v>
      </c>
      <c r="J39" s="297"/>
      <c r="K39" s="297">
        <f>'Chemical Consumption'!J27</f>
        <v>0</v>
      </c>
      <c r="L39" s="297">
        <f>'Chemical Consumption'!J25</f>
        <v>0</v>
      </c>
      <c r="M39" s="297">
        <f>'Chemical Consumption'!J26</f>
        <v>0</v>
      </c>
      <c r="N39" s="297">
        <f>'Chemical Consumption'!J29</f>
        <v>0</v>
      </c>
      <c r="O39" s="297">
        <f>'Chemical Consumption'!J30</f>
        <v>0</v>
      </c>
      <c r="P39" s="297">
        <f>'Chemical Consumption'!J28</f>
        <v>0</v>
      </c>
      <c r="Q39" s="303" t="str">
        <f t="shared" si="5"/>
        <v/>
      </c>
      <c r="R39" s="297"/>
      <c r="S39" s="297"/>
    </row>
    <row r="40" spans="1:19">
      <c r="B40" s="65" t="s">
        <v>284</v>
      </c>
      <c r="C40" s="297">
        <v>0</v>
      </c>
      <c r="D40" s="297">
        <v>0</v>
      </c>
      <c r="E40" s="297">
        <v>0</v>
      </c>
      <c r="F40" s="297">
        <v>0</v>
      </c>
      <c r="G40" s="297">
        <f>'Recyclable Material'!L52</f>
        <v>0</v>
      </c>
      <c r="H40" s="298" t="str">
        <f t="shared" si="6"/>
        <v/>
      </c>
      <c r="I40" s="297">
        <f>'Chemical Consumption'!K24</f>
        <v>0</v>
      </c>
      <c r="J40" s="297"/>
      <c r="K40" s="297">
        <f>'Chemical Consumption'!K27</f>
        <v>0</v>
      </c>
      <c r="L40" s="297">
        <f>'Chemical Consumption'!K25</f>
        <v>0</v>
      </c>
      <c r="M40" s="297">
        <f>'Chemical Consumption'!K26</f>
        <v>0</v>
      </c>
      <c r="N40" s="297">
        <f>'Chemical Consumption'!K29</f>
        <v>0</v>
      </c>
      <c r="O40" s="297">
        <f>'Chemical Consumption'!K30</f>
        <v>0</v>
      </c>
      <c r="P40" s="297">
        <f>'Chemical Consumption'!K28</f>
        <v>0</v>
      </c>
      <c r="Q40" s="303" t="str">
        <f t="shared" si="5"/>
        <v/>
      </c>
      <c r="R40" s="297"/>
      <c r="S40" s="297"/>
    </row>
    <row r="41" spans="1:19">
      <c r="B41" s="65" t="s">
        <v>285</v>
      </c>
      <c r="C41" s="297">
        <v>0</v>
      </c>
      <c r="D41" s="297">
        <v>0</v>
      </c>
      <c r="E41" s="297">
        <v>0</v>
      </c>
      <c r="F41" s="297">
        <v>0</v>
      </c>
      <c r="G41" s="297">
        <f>'Recyclable Material'!M52</f>
        <v>0</v>
      </c>
      <c r="H41" s="298" t="str">
        <f t="shared" si="6"/>
        <v/>
      </c>
      <c r="I41" s="297">
        <f>'Chemical Consumption'!L24</f>
        <v>0</v>
      </c>
      <c r="J41" s="297"/>
      <c r="K41" s="297">
        <f>'Chemical Consumption'!L27</f>
        <v>0</v>
      </c>
      <c r="L41" s="297">
        <f>'Chemical Consumption'!L25</f>
        <v>0</v>
      </c>
      <c r="M41" s="297">
        <f>'Chemical Consumption'!L26</f>
        <v>0</v>
      </c>
      <c r="N41" s="297">
        <f>'Chemical Consumption'!L29</f>
        <v>0</v>
      </c>
      <c r="O41" s="297">
        <f>'Chemical Consumption'!L30</f>
        <v>0</v>
      </c>
      <c r="P41" s="297">
        <f>'Chemical Consumption'!L28</f>
        <v>0</v>
      </c>
      <c r="Q41" s="303" t="str">
        <f t="shared" si="5"/>
        <v/>
      </c>
      <c r="R41" s="297"/>
      <c r="S41" s="297"/>
    </row>
    <row r="42" spans="1:19">
      <c r="B42" s="65" t="s">
        <v>286</v>
      </c>
      <c r="C42" s="297">
        <v>0</v>
      </c>
      <c r="D42" s="297">
        <v>0</v>
      </c>
      <c r="E42" s="297">
        <v>0</v>
      </c>
      <c r="F42" s="297">
        <v>0</v>
      </c>
      <c r="G42" s="297">
        <f>'Recyclable Material'!N52</f>
        <v>0</v>
      </c>
      <c r="H42" s="298" t="str">
        <f>IF(SUM(D42:E42,G42)=0,"",SUM(D42:E42,G42))</f>
        <v/>
      </c>
      <c r="I42" s="297">
        <f>'Chemical Consumption'!M24</f>
        <v>0</v>
      </c>
      <c r="J42" s="297"/>
      <c r="K42" s="297">
        <f>'Chemical Consumption'!M27</f>
        <v>0</v>
      </c>
      <c r="L42" s="297">
        <f>'Chemical Consumption'!M25</f>
        <v>0</v>
      </c>
      <c r="M42" s="297">
        <f>'Chemical Consumption'!M26</f>
        <v>0</v>
      </c>
      <c r="N42" s="297">
        <f>'Chemical Consumption'!M29</f>
        <v>0</v>
      </c>
      <c r="O42" s="297">
        <f>'Chemical Consumption'!M30</f>
        <v>0</v>
      </c>
      <c r="P42" s="297">
        <f>'Chemical Consumption'!M28</f>
        <v>0</v>
      </c>
      <c r="Q42" s="303" t="str">
        <f t="shared" si="5"/>
        <v/>
      </c>
      <c r="R42" s="297"/>
      <c r="S42" s="297"/>
    </row>
    <row r="43" spans="1:19">
      <c r="B43" s="65" t="s">
        <v>287</v>
      </c>
      <c r="C43" s="297">
        <v>0</v>
      </c>
      <c r="D43" s="297">
        <v>0</v>
      </c>
      <c r="E43" s="297">
        <v>0</v>
      </c>
      <c r="F43" s="297">
        <v>0</v>
      </c>
      <c r="G43" s="297">
        <f>'Recyclable Material'!O52</f>
        <v>0</v>
      </c>
      <c r="H43" s="298" t="str">
        <f>IF(SUM(D43:E43,G43)=0,"",SUM(D43:E43,G43))</f>
        <v/>
      </c>
      <c r="I43" s="297">
        <f>'Chemical Consumption'!N24</f>
        <v>0</v>
      </c>
      <c r="J43" s="297"/>
      <c r="K43" s="297">
        <f>'Chemical Consumption'!N27</f>
        <v>0</v>
      </c>
      <c r="L43" s="297">
        <f>'Chemical Consumption'!N25</f>
        <v>0</v>
      </c>
      <c r="M43" s="297">
        <f>'Chemical Consumption'!N26</f>
        <v>0</v>
      </c>
      <c r="N43" s="297">
        <f>'Chemical Consumption'!N29</f>
        <v>0</v>
      </c>
      <c r="O43" s="297">
        <f>'Chemical Consumption'!N30</f>
        <v>0</v>
      </c>
      <c r="P43" s="297">
        <f>'Chemical Consumption'!N28</f>
        <v>0</v>
      </c>
      <c r="Q43" s="303" t="str">
        <f t="shared" si="5"/>
        <v/>
      </c>
      <c r="R43" s="297"/>
      <c r="S43" s="297"/>
    </row>
    <row r="44" spans="1:19" ht="18.75" thickBot="1">
      <c r="B44" s="66" t="s">
        <v>288</v>
      </c>
      <c r="C44" s="297">
        <v>0</v>
      </c>
      <c r="D44" s="297">
        <v>0</v>
      </c>
      <c r="E44" s="297">
        <v>0</v>
      </c>
      <c r="F44" s="297">
        <v>0</v>
      </c>
      <c r="G44" s="297">
        <f>'Recyclable Material'!P52</f>
        <v>0</v>
      </c>
      <c r="H44" s="300" t="str">
        <f t="shared" ref="H44:H45" si="7">IF(SUM(D44:E44,G44)=0,"",SUM(D44:E44,G44))</f>
        <v/>
      </c>
      <c r="I44" s="299">
        <f>'Chemical Consumption'!O24</f>
        <v>0</v>
      </c>
      <c r="J44" s="299"/>
      <c r="K44" s="299">
        <f>'Chemical Consumption'!O27</f>
        <v>0</v>
      </c>
      <c r="L44" s="299">
        <f>'Chemical Consumption'!O25</f>
        <v>0</v>
      </c>
      <c r="M44" s="299">
        <f>'Chemical Consumption'!O26</f>
        <v>0</v>
      </c>
      <c r="N44" s="299">
        <f>'Chemical Consumption'!O29</f>
        <v>0</v>
      </c>
      <c r="O44" s="299">
        <f>'Chemical Consumption'!O30</f>
        <v>0</v>
      </c>
      <c r="P44" s="299">
        <f>'Chemical Consumption'!O28</f>
        <v>0</v>
      </c>
      <c r="Q44" s="304" t="str">
        <f t="shared" si="5"/>
        <v/>
      </c>
      <c r="R44" s="299"/>
      <c r="S44" s="299"/>
    </row>
    <row r="45" spans="1:19" ht="18.75" thickBot="1">
      <c r="B45" s="63" t="s">
        <v>334</v>
      </c>
      <c r="C45" s="301" t="str">
        <f>IF(SUM(C33:C44)=0,"",SUM(C33:C44))</f>
        <v/>
      </c>
      <c r="D45" s="301" t="str">
        <f t="shared" ref="D45:G45" si="8">IF(SUM(D33:D44)=0,"",SUM(D33:D44))</f>
        <v/>
      </c>
      <c r="E45" s="301" t="str">
        <f t="shared" si="8"/>
        <v/>
      </c>
      <c r="F45" s="301" t="str">
        <f t="shared" si="8"/>
        <v/>
      </c>
      <c r="G45" s="301">
        <f t="shared" si="8"/>
        <v>38881.78</v>
      </c>
      <c r="H45" s="301">
        <f t="shared" si="7"/>
        <v>38881.78</v>
      </c>
      <c r="I45" s="301">
        <f t="shared" ref="I45:L45" si="9">IF(SUM(I33:I44)=0,"",SUM(I33:I44))</f>
        <v>1515</v>
      </c>
      <c r="J45" s="301" t="str">
        <f t="shared" si="9"/>
        <v/>
      </c>
      <c r="K45" s="301">
        <f t="shared" si="9"/>
        <v>32949.760000000002</v>
      </c>
      <c r="L45" s="301" t="str">
        <f t="shared" si="9"/>
        <v/>
      </c>
      <c r="M45" s="301"/>
      <c r="N45" s="301"/>
      <c r="O45" s="301">
        <f t="shared" ref="O45:S45" si="10">IF(SUM(O33:O44)=0,"",SUM(O33:O44))</f>
        <v>201.47499999999999</v>
      </c>
      <c r="P45" s="301">
        <f t="shared" si="10"/>
        <v>528</v>
      </c>
      <c r="Q45" s="301">
        <f t="shared" si="10"/>
        <v>36266.01</v>
      </c>
      <c r="R45" s="301" t="str">
        <f t="shared" si="10"/>
        <v/>
      </c>
      <c r="S45" s="301" t="str">
        <f t="shared" si="10"/>
        <v/>
      </c>
    </row>
    <row r="46" spans="1:19" ht="18.75" thickBot="1">
      <c r="B46" s="45" t="s">
        <v>335</v>
      </c>
      <c r="C46" s="301">
        <f>IFERROR(AVERAGE(C33:C44),"")</f>
        <v>0</v>
      </c>
      <c r="D46" s="301">
        <f t="shared" ref="D46:L46" si="11">IFERROR(AVERAGE(D33:D44),"")</f>
        <v>0</v>
      </c>
      <c r="E46" s="301">
        <f t="shared" si="11"/>
        <v>0</v>
      </c>
      <c r="F46" s="301">
        <f t="shared" si="11"/>
        <v>0</v>
      </c>
      <c r="G46" s="301">
        <f t="shared" si="11"/>
        <v>3240.1483333333331</v>
      </c>
      <c r="H46" s="301">
        <f t="shared" si="11"/>
        <v>38881.78</v>
      </c>
      <c r="I46" s="301">
        <f t="shared" si="11"/>
        <v>126.25</v>
      </c>
      <c r="J46" s="301" t="str">
        <f t="shared" si="11"/>
        <v/>
      </c>
      <c r="K46" s="301">
        <f t="shared" si="11"/>
        <v>2745.8133333333335</v>
      </c>
      <c r="L46" s="301">
        <f t="shared" si="11"/>
        <v>0</v>
      </c>
      <c r="M46" s="301"/>
      <c r="N46" s="301"/>
      <c r="O46" s="301">
        <f t="shared" ref="O46:S46" si="12">IFERROR(AVERAGE(O33:O44),"")</f>
        <v>16.789583333333333</v>
      </c>
      <c r="P46" s="301">
        <f t="shared" si="12"/>
        <v>44</v>
      </c>
      <c r="Q46" s="301">
        <f t="shared" si="12"/>
        <v>36266.01</v>
      </c>
      <c r="R46" s="301" t="str">
        <f t="shared" si="12"/>
        <v/>
      </c>
      <c r="S46" s="301" t="str">
        <f t="shared" si="12"/>
        <v/>
      </c>
    </row>
  </sheetData>
  <mergeCells count="36">
    <mergeCell ref="B5:S5"/>
    <mergeCell ref="E7:F7"/>
    <mergeCell ref="B6:B8"/>
    <mergeCell ref="C6:H6"/>
    <mergeCell ref="I6:Q6"/>
    <mergeCell ref="R6:R8"/>
    <mergeCell ref="S6:S8"/>
    <mergeCell ref="C7:C8"/>
    <mergeCell ref="D7:D8"/>
    <mergeCell ref="G7:G8"/>
    <mergeCell ref="H7:H8"/>
    <mergeCell ref="I7:I8"/>
    <mergeCell ref="J7:J8"/>
    <mergeCell ref="K7:K8"/>
    <mergeCell ref="A4:A5"/>
    <mergeCell ref="A29:A30"/>
    <mergeCell ref="B29:S29"/>
    <mergeCell ref="B30:B32"/>
    <mergeCell ref="C30:H30"/>
    <mergeCell ref="I30:Q30"/>
    <mergeCell ref="R30:R32"/>
    <mergeCell ref="S30:S32"/>
    <mergeCell ref="C31:C32"/>
    <mergeCell ref="D31:D32"/>
    <mergeCell ref="E31:F31"/>
    <mergeCell ref="G31:G32"/>
    <mergeCell ref="H31:H32"/>
    <mergeCell ref="I31:I32"/>
    <mergeCell ref="J31:J32"/>
    <mergeCell ref="P7:P8"/>
    <mergeCell ref="K31:K32"/>
    <mergeCell ref="L31:O31"/>
    <mergeCell ref="P31:P32"/>
    <mergeCell ref="Q31:Q32"/>
    <mergeCell ref="L7:O7"/>
    <mergeCell ref="Q7:Q8"/>
  </mergeCell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5FA8A-D9E6-42C6-87C7-67F3FD261790}">
  <dimension ref="A1:W83"/>
  <sheetViews>
    <sheetView showGridLines="0" topLeftCell="B1" zoomScale="85" zoomScaleNormal="85" workbookViewId="0">
      <pane xSplit="1" ySplit="3" topLeftCell="C4" activePane="bottomRight" state="frozen"/>
      <selection pane="topRight" activeCell="C1" sqref="C1"/>
      <selection pane="bottomLeft" activeCell="B4" sqref="B4"/>
      <selection pane="bottomRight"/>
    </sheetView>
  </sheetViews>
  <sheetFormatPr defaultColWidth="15" defaultRowHeight="16.5"/>
  <cols>
    <col min="1" max="1" width="6.28515625" style="41" hidden="1" customWidth="1"/>
    <col min="2" max="2" width="34.7109375" style="41" customWidth="1"/>
    <col min="3" max="3" width="10.140625" style="41" bestFit="1" customWidth="1"/>
    <col min="4" max="9" width="15" style="41"/>
    <col min="10" max="10" width="5.85546875" style="41" customWidth="1"/>
    <col min="11" max="16384" width="15" style="41"/>
  </cols>
  <sheetData>
    <row r="1" spans="2:19" ht="33" customHeight="1"/>
    <row r="2" spans="2:19" ht="33" customHeight="1"/>
    <row r="3" spans="2:19" ht="33" customHeight="1"/>
    <row r="4" spans="2:19" ht="26.25" customHeight="1" thickBot="1"/>
    <row r="5" spans="2:19" s="351" customFormat="1" ht="21.75" thickBot="1">
      <c r="C5" s="1970" t="s">
        <v>544</v>
      </c>
      <c r="D5" s="1970"/>
      <c r="E5" s="1970"/>
      <c r="F5" s="1970"/>
      <c r="G5" s="1970"/>
      <c r="H5" s="1970"/>
      <c r="I5" s="1970"/>
      <c r="K5" s="2026" t="s">
        <v>545</v>
      </c>
      <c r="L5" s="2027"/>
      <c r="M5" s="2027"/>
      <c r="N5" s="2027"/>
      <c r="O5" s="2027"/>
      <c r="P5" s="2027"/>
      <c r="Q5" s="2027"/>
      <c r="R5" s="2027"/>
      <c r="S5" s="2028"/>
    </row>
    <row r="6" spans="2:19" s="71" customFormat="1" ht="54.75" thickBot="1">
      <c r="B6" s="1933">
        <v>2023</v>
      </c>
      <c r="C6" s="63" t="s">
        <v>121</v>
      </c>
      <c r="D6" s="68" t="s">
        <v>546</v>
      </c>
      <c r="E6" s="68" t="s">
        <v>547</v>
      </c>
      <c r="F6" s="68" t="s">
        <v>548</v>
      </c>
      <c r="G6" s="68" t="s">
        <v>549</v>
      </c>
      <c r="H6" s="68" t="s">
        <v>550</v>
      </c>
      <c r="I6" s="68" t="s">
        <v>334</v>
      </c>
      <c r="K6" s="68" t="s">
        <v>551</v>
      </c>
      <c r="L6" s="68" t="s">
        <v>552</v>
      </c>
      <c r="M6" s="68" t="s">
        <v>553</v>
      </c>
      <c r="N6" s="63" t="s">
        <v>554</v>
      </c>
      <c r="O6" s="68" t="s">
        <v>555</v>
      </c>
      <c r="P6" s="69" t="s">
        <v>556</v>
      </c>
      <c r="Q6" s="68" t="s">
        <v>557</v>
      </c>
      <c r="R6" s="68" t="s">
        <v>550</v>
      </c>
      <c r="S6" s="68" t="s">
        <v>334</v>
      </c>
    </row>
    <row r="7" spans="2:19" ht="18">
      <c r="B7" s="1933"/>
      <c r="C7" s="9" t="s">
        <v>278</v>
      </c>
      <c r="D7" s="403">
        <f>'Material Consumption'!D5</f>
        <v>4247.1049999999996</v>
      </c>
      <c r="E7" s="409">
        <f>'Material Consumption'!E5</f>
        <v>0</v>
      </c>
      <c r="F7" s="409">
        <f>'Material Consumption'!F5</f>
        <v>0</v>
      </c>
      <c r="G7" s="403">
        <f>'Material Consumption'!G5</f>
        <v>39599.949999999997</v>
      </c>
      <c r="H7" s="409">
        <f>'Material Consumption'!J5</f>
        <v>0</v>
      </c>
      <c r="I7" s="76">
        <f t="shared" ref="I7:I18" si="0">IF(SUM(D7:H7)=0,"",SUM(D7:H7))</f>
        <v>43847.054999999993</v>
      </c>
      <c r="K7" s="403">
        <f>'Material Consumption'!M5</f>
        <v>51596.654999999999</v>
      </c>
      <c r="L7" s="403">
        <f>'Material Consumption'!N5</f>
        <v>182012</v>
      </c>
      <c r="M7" s="403">
        <f>'Material Consumption'!O5</f>
        <v>13326.99</v>
      </c>
      <c r="N7" s="403">
        <f>'Material Consumption'!P5</f>
        <v>0</v>
      </c>
      <c r="O7" s="411">
        <f>'Material Consumption'!Q5</f>
        <v>2148.89</v>
      </c>
      <c r="P7" s="403">
        <f>Packaging!H7</f>
        <v>32662.95954208108</v>
      </c>
      <c r="Q7" s="412">
        <f>'Material Consumption'!S5</f>
        <v>0</v>
      </c>
      <c r="R7" s="403">
        <f>'Material Consumption'!T5</f>
        <v>0</v>
      </c>
      <c r="S7" s="407">
        <f>IF(SUM(K7:R7)=0,"",SUM(K7:R7))</f>
        <v>281747.49454208108</v>
      </c>
    </row>
    <row r="8" spans="2:19" ht="18">
      <c r="C8" s="10" t="s">
        <v>279</v>
      </c>
      <c r="D8" s="404">
        <f>'Material Consumption'!D6</f>
        <v>2652.0070000000001</v>
      </c>
      <c r="E8" s="410">
        <f>'Material Consumption'!E6</f>
        <v>0</v>
      </c>
      <c r="F8" s="410">
        <f>'Material Consumption'!F6</f>
        <v>0</v>
      </c>
      <c r="G8" s="404">
        <f>'Material Consumption'!G6</f>
        <v>30421.58</v>
      </c>
      <c r="H8" s="410">
        <f>'Material Consumption'!J6</f>
        <v>0</v>
      </c>
      <c r="I8" s="77">
        <f t="shared" si="0"/>
        <v>33073.587</v>
      </c>
      <c r="K8" s="404">
        <f>'Material Consumption'!M6</f>
        <v>44529.161</v>
      </c>
      <c r="L8" s="404">
        <f>'Material Consumption'!N6</f>
        <v>148600.639</v>
      </c>
      <c r="M8" s="404">
        <f>'Material Consumption'!O6</f>
        <v>9152.91</v>
      </c>
      <c r="N8" s="404">
        <f>'Material Consumption'!P6</f>
        <v>0</v>
      </c>
      <c r="O8" s="413">
        <f>'Material Consumption'!Q6</f>
        <v>599.07000000000005</v>
      </c>
      <c r="P8" s="404">
        <f>Packaging!H8</f>
        <v>19692.170287999998</v>
      </c>
      <c r="Q8" s="414">
        <f>'Material Consumption'!S6</f>
        <v>0</v>
      </c>
      <c r="R8" s="404">
        <f>'Material Consumption'!T6</f>
        <v>0</v>
      </c>
      <c r="S8" s="408">
        <f t="shared" ref="S8:S18" si="1">IF(SUM(K8:R8)=0,"",SUM(K8:R8))</f>
        <v>222573.95028799999</v>
      </c>
    </row>
    <row r="9" spans="2:19" ht="21">
      <c r="B9" s="1685" t="s">
        <v>558</v>
      </c>
      <c r="C9" s="10" t="s">
        <v>280</v>
      </c>
      <c r="D9" s="404">
        <f>'Material Consumption'!D7</f>
        <v>2147.8870000000002</v>
      </c>
      <c r="E9" s="410">
        <f>'Material Consumption'!E7</f>
        <v>0</v>
      </c>
      <c r="F9" s="410">
        <f>'Material Consumption'!F7</f>
        <v>0</v>
      </c>
      <c r="G9" s="404">
        <f>'Material Consumption'!G7</f>
        <v>26345.766</v>
      </c>
      <c r="H9" s="410">
        <f>'Material Consumption'!J7</f>
        <v>0</v>
      </c>
      <c r="I9" s="77">
        <f t="shared" si="0"/>
        <v>28493.652999999998</v>
      </c>
      <c r="K9" s="404">
        <f>'Material Consumption'!M7</f>
        <v>42313.459000000003</v>
      </c>
      <c r="L9" s="404">
        <f>'Material Consumption'!N7</f>
        <v>196918.22500000001</v>
      </c>
      <c r="M9" s="404">
        <f>'Material Consumption'!O7</f>
        <v>3966.5925000000002</v>
      </c>
      <c r="N9" s="404">
        <f>'Material Consumption'!P7</f>
        <v>0</v>
      </c>
      <c r="O9" s="413">
        <f>'Material Consumption'!Q7</f>
        <v>1597.5</v>
      </c>
      <c r="P9" s="404">
        <f>Packaging!H9</f>
        <v>22903.41028</v>
      </c>
      <c r="Q9" s="414">
        <f>'Material Consumption'!S7</f>
        <v>0</v>
      </c>
      <c r="R9" s="404">
        <f>'Material Consumption'!T7</f>
        <v>0</v>
      </c>
      <c r="S9" s="408">
        <f t="shared" si="1"/>
        <v>267699.18677999999</v>
      </c>
    </row>
    <row r="10" spans="2:19" ht="21">
      <c r="B10" s="1685" t="s">
        <v>559</v>
      </c>
      <c r="C10" s="10" t="s">
        <v>281</v>
      </c>
      <c r="D10" s="404">
        <f>'Material Consumption'!D8</f>
        <v>7610.2939999999999</v>
      </c>
      <c r="E10" s="410">
        <f>'Material Consumption'!E8</f>
        <v>0</v>
      </c>
      <c r="F10" s="410">
        <f>'Material Consumption'!F8</f>
        <v>0</v>
      </c>
      <c r="G10" s="404">
        <f>'Material Consumption'!G8</f>
        <v>34551.410000000003</v>
      </c>
      <c r="H10" s="410">
        <f>'Material Consumption'!J8</f>
        <v>0</v>
      </c>
      <c r="I10" s="77">
        <f t="shared" si="0"/>
        <v>42161.704000000005</v>
      </c>
      <c r="K10" s="404">
        <f>'Material Consumption'!M8</f>
        <v>42177.726000000002</v>
      </c>
      <c r="L10" s="404">
        <f>'Material Consumption'!N8</f>
        <v>174256.84299999999</v>
      </c>
      <c r="M10" s="404">
        <f>'Material Consumption'!O8</f>
        <v>16184.932500000001</v>
      </c>
      <c r="N10" s="404">
        <f>'Material Consumption'!P8</f>
        <v>0</v>
      </c>
      <c r="O10" s="413">
        <f>'Material Consumption'!Q8</f>
        <v>1640.14</v>
      </c>
      <c r="P10" s="404">
        <f>Packaging!H10</f>
        <v>24259.749890378378</v>
      </c>
      <c r="Q10" s="414">
        <f>'Material Consumption'!S8</f>
        <v>0</v>
      </c>
      <c r="R10" s="404">
        <f>'Material Consumption'!T8</f>
        <v>0</v>
      </c>
      <c r="S10" s="405">
        <f t="shared" si="1"/>
        <v>258519.39139037838</v>
      </c>
    </row>
    <row r="11" spans="2:19" ht="18">
      <c r="C11" s="10" t="s">
        <v>132</v>
      </c>
      <c r="D11" s="404">
        <f>'Material Consumption'!D9</f>
        <v>12346.5</v>
      </c>
      <c r="E11" s="410">
        <f>'Material Consumption'!E9</f>
        <v>0</v>
      </c>
      <c r="F11" s="410">
        <f>'Material Consumption'!F9</f>
        <v>0</v>
      </c>
      <c r="G11" s="404">
        <f>'Material Consumption'!G9</f>
        <v>56670.720000000001</v>
      </c>
      <c r="H11" s="410">
        <f>'Material Consumption'!J9</f>
        <v>0</v>
      </c>
      <c r="I11" s="77">
        <f t="shared" si="0"/>
        <v>69017.22</v>
      </c>
      <c r="K11" s="404">
        <f>'Material Consumption'!M9</f>
        <v>64129.63</v>
      </c>
      <c r="L11" s="404">
        <f>'Material Consumption'!N9</f>
        <v>240087.016</v>
      </c>
      <c r="M11" s="404">
        <f>'Material Consumption'!O9</f>
        <v>8561.2275000000009</v>
      </c>
      <c r="N11" s="404">
        <f>'Material Consumption'!P9</f>
        <v>0</v>
      </c>
      <c r="O11" s="413">
        <f>'Material Consumption'!Q9</f>
        <v>1628</v>
      </c>
      <c r="P11" s="404">
        <f>Packaging!H11</f>
        <v>29041.252179999999</v>
      </c>
      <c r="Q11" s="414">
        <f>'Material Consumption'!S9</f>
        <v>0</v>
      </c>
      <c r="R11" s="404">
        <f>'Material Consumption'!T9</f>
        <v>0</v>
      </c>
      <c r="S11" s="405">
        <f t="shared" si="1"/>
        <v>343447.12568</v>
      </c>
    </row>
    <row r="12" spans="2:19" ht="18">
      <c r="C12" s="10" t="s">
        <v>282</v>
      </c>
      <c r="D12" s="404">
        <f>'Material Consumption'!D10</f>
        <v>11410.004999999999</v>
      </c>
      <c r="E12" s="410">
        <f>'Material Consumption'!E10</f>
        <v>0</v>
      </c>
      <c r="F12" s="410">
        <f>'Material Consumption'!F10</f>
        <v>0</v>
      </c>
      <c r="G12" s="404">
        <f>'Material Consumption'!G10</f>
        <v>53862</v>
      </c>
      <c r="H12" s="410">
        <f>'Material Consumption'!J10</f>
        <v>0</v>
      </c>
      <c r="I12" s="77">
        <f t="shared" si="0"/>
        <v>65272.004999999997</v>
      </c>
      <c r="K12" s="404">
        <f>'Material Consumption'!M10</f>
        <v>38349.564000000006</v>
      </c>
      <c r="L12" s="404">
        <f>'Material Consumption'!N10</f>
        <v>227232.42499999999</v>
      </c>
      <c r="M12" s="404">
        <f>'Material Consumption'!O10</f>
        <v>15864.682500000001</v>
      </c>
      <c r="N12" s="404">
        <f>'Material Consumption'!P10</f>
        <v>0</v>
      </c>
      <c r="O12" s="413">
        <f>'Material Consumption'!Q10</f>
        <v>833.39</v>
      </c>
      <c r="P12" s="404">
        <f>Packaging!H12</f>
        <v>28932.040492</v>
      </c>
      <c r="Q12" s="414">
        <f>'Material Consumption'!S10</f>
        <v>0</v>
      </c>
      <c r="R12" s="404">
        <f>'Material Consumption'!T10</f>
        <v>0</v>
      </c>
      <c r="S12" s="405">
        <f t="shared" si="1"/>
        <v>311212.10199200001</v>
      </c>
    </row>
    <row r="13" spans="2:19" ht="18">
      <c r="C13" s="10" t="s">
        <v>283</v>
      </c>
      <c r="D13" s="404">
        <f>'Material Consumption'!D11</f>
        <v>7770.4740000000002</v>
      </c>
      <c r="E13" s="410">
        <f>'Material Consumption'!E11</f>
        <v>0</v>
      </c>
      <c r="F13" s="410">
        <f>'Material Consumption'!F11</f>
        <v>0</v>
      </c>
      <c r="G13" s="404">
        <f>'Material Consumption'!G11</f>
        <v>49682.9</v>
      </c>
      <c r="H13" s="410">
        <f>'Material Consumption'!J11</f>
        <v>0</v>
      </c>
      <c r="I13" s="77">
        <f t="shared" si="0"/>
        <v>57453.374000000003</v>
      </c>
      <c r="K13" s="404">
        <f>'Material Consumption'!M11</f>
        <v>50559.201999999997</v>
      </c>
      <c r="L13" s="404">
        <f>'Material Consumption'!N11</f>
        <v>205473.3</v>
      </c>
      <c r="M13" s="404">
        <f>'Material Consumption'!O11</f>
        <v>9260.6375000000007</v>
      </c>
      <c r="N13" s="404">
        <f>'Material Consumption'!P11</f>
        <v>0</v>
      </c>
      <c r="O13" s="413">
        <f>'Material Consumption'!Q11</f>
        <v>2906.77</v>
      </c>
      <c r="P13" s="404">
        <f>Packaging!H13</f>
        <v>26743.752726999999</v>
      </c>
      <c r="Q13" s="414">
        <f>'Material Consumption'!S11</f>
        <v>0</v>
      </c>
      <c r="R13" s="404">
        <f>'Material Consumption'!T11</f>
        <v>0</v>
      </c>
      <c r="S13" s="405">
        <f t="shared" si="1"/>
        <v>294943.66222699999</v>
      </c>
    </row>
    <row r="14" spans="2:19" ht="18">
      <c r="C14" s="10" t="s">
        <v>284</v>
      </c>
      <c r="D14" s="404">
        <f>'Material Consumption'!D12</f>
        <v>17261.259999999998</v>
      </c>
      <c r="E14" s="410">
        <f>'Material Consumption'!E12</f>
        <v>0</v>
      </c>
      <c r="F14" s="410">
        <f>'Material Consumption'!F12</f>
        <v>0</v>
      </c>
      <c r="G14" s="404">
        <f>'Material Consumption'!G12</f>
        <v>55272.53</v>
      </c>
      <c r="H14" s="410">
        <f>'Material Consumption'!J12</f>
        <v>0</v>
      </c>
      <c r="I14" s="77">
        <f t="shared" si="0"/>
        <v>72533.789999999994</v>
      </c>
      <c r="K14" s="404">
        <f>'Material Consumption'!M12</f>
        <v>39770.197</v>
      </c>
      <c r="L14" s="404">
        <f>'Material Consumption'!N12</f>
        <v>198752.78</v>
      </c>
      <c r="M14" s="404">
        <f>'Material Consumption'!O12</f>
        <v>7105.7375000000002</v>
      </c>
      <c r="N14" s="404">
        <f>'Material Consumption'!P12</f>
        <v>0</v>
      </c>
      <c r="O14" s="413">
        <f>'Material Consumption'!Q12</f>
        <v>1370.83</v>
      </c>
      <c r="P14" s="404">
        <f>Packaging!H14</f>
        <v>24222.478538378378</v>
      </c>
      <c r="Q14" s="414">
        <f>'Material Consumption'!S12</f>
        <v>0</v>
      </c>
      <c r="R14" s="404">
        <f>'Material Consumption'!T12</f>
        <v>0</v>
      </c>
      <c r="S14" s="405">
        <f t="shared" si="1"/>
        <v>271222.02303837839</v>
      </c>
    </row>
    <row r="15" spans="2:19" ht="18">
      <c r="C15" s="10" t="s">
        <v>285</v>
      </c>
      <c r="D15" s="404">
        <f>'Material Consumption'!D13</f>
        <v>9805.74</v>
      </c>
      <c r="E15" s="410">
        <f>'Material Consumption'!E13</f>
        <v>0</v>
      </c>
      <c r="F15" s="410">
        <f>'Material Consumption'!F13</f>
        <v>0</v>
      </c>
      <c r="G15" s="404">
        <f>'Material Consumption'!G13</f>
        <v>42649.120000000003</v>
      </c>
      <c r="H15" s="410">
        <f>'Material Consumption'!J13</f>
        <v>0</v>
      </c>
      <c r="I15" s="77">
        <f t="shared" si="0"/>
        <v>52454.86</v>
      </c>
      <c r="K15" s="404">
        <f>'Material Consumption'!M13</f>
        <v>24738.787000000004</v>
      </c>
      <c r="L15" s="404">
        <f>'Material Consumption'!N13</f>
        <v>201424.24400000001</v>
      </c>
      <c r="M15" s="404">
        <f>'Material Consumption'!O13</f>
        <v>7500.9324999999999</v>
      </c>
      <c r="N15" s="404">
        <f>'Material Consumption'!P13</f>
        <v>0</v>
      </c>
      <c r="O15" s="413">
        <f>'Material Consumption'!Q13</f>
        <v>2704.26</v>
      </c>
      <c r="P15" s="404">
        <f>Packaging!H15</f>
        <v>27427.441838999999</v>
      </c>
      <c r="Q15" s="414">
        <f>'Material Consumption'!S13</f>
        <v>0</v>
      </c>
      <c r="R15" s="404">
        <f>'Material Consumption'!T13</f>
        <v>0</v>
      </c>
      <c r="S15" s="405">
        <f t="shared" si="1"/>
        <v>263795.665339</v>
      </c>
    </row>
    <row r="16" spans="2:19" ht="18">
      <c r="C16" s="10" t="s">
        <v>286</v>
      </c>
      <c r="D16" s="404">
        <f>'Material Consumption'!D14</f>
        <v>10011.030000000001</v>
      </c>
      <c r="E16" s="410">
        <f>'Material Consumption'!E14</f>
        <v>0</v>
      </c>
      <c r="F16" s="410">
        <f>'Material Consumption'!F14</f>
        <v>0</v>
      </c>
      <c r="G16" s="404">
        <f>'Material Consumption'!G14</f>
        <v>41555.15</v>
      </c>
      <c r="H16" s="410">
        <f>'Material Consumption'!J14</f>
        <v>0</v>
      </c>
      <c r="I16" s="77">
        <f t="shared" si="0"/>
        <v>51566.18</v>
      </c>
      <c r="K16" s="404">
        <f>'Material Consumption'!M14</f>
        <v>41872.79</v>
      </c>
      <c r="L16" s="404">
        <f>'Material Consumption'!N14</f>
        <v>189528</v>
      </c>
      <c r="M16" s="404">
        <f>'Material Consumption'!O14</f>
        <v>8436</v>
      </c>
      <c r="N16" s="404">
        <f>'Material Consumption'!P14</f>
        <v>0</v>
      </c>
      <c r="O16" s="413">
        <f>'Material Consumption'!Q14</f>
        <v>889.2</v>
      </c>
      <c r="P16" s="404">
        <f>Packaging!H16</f>
        <v>28516.40674410811</v>
      </c>
      <c r="Q16" s="414">
        <f>'Material Consumption'!S14</f>
        <v>0</v>
      </c>
      <c r="R16" s="404">
        <f>'Material Consumption'!T14</f>
        <v>0</v>
      </c>
      <c r="S16" s="405">
        <f t="shared" si="1"/>
        <v>269242.39674410812</v>
      </c>
    </row>
    <row r="17" spans="2:23" ht="18">
      <c r="C17" s="10" t="s">
        <v>287</v>
      </c>
      <c r="D17" s="404">
        <f>'Material Consumption'!D15</f>
        <v>4666.4750000000004</v>
      </c>
      <c r="E17" s="410">
        <f>'Material Consumption'!E15</f>
        <v>0</v>
      </c>
      <c r="F17" s="410">
        <f>'Material Consumption'!F15</f>
        <v>0</v>
      </c>
      <c r="G17" s="404">
        <f>'Material Consumption'!G15</f>
        <v>42149.299999999996</v>
      </c>
      <c r="H17" s="410">
        <f>'Material Consumption'!J15</f>
        <v>0</v>
      </c>
      <c r="I17" s="77">
        <f t="shared" si="0"/>
        <v>46815.774999999994</v>
      </c>
      <c r="K17" s="404">
        <f>'Material Consumption'!M15</f>
        <v>48164.862999999998</v>
      </c>
      <c r="L17" s="404">
        <f>'Material Consumption'!N15</f>
        <v>225832.09</v>
      </c>
      <c r="M17" s="404">
        <f>'Material Consumption'!O15</f>
        <v>9127.9575000000004</v>
      </c>
      <c r="N17" s="404">
        <f>'Material Consumption'!P15</f>
        <v>0</v>
      </c>
      <c r="O17" s="413">
        <f>'Material Consumption'!Q15</f>
        <v>2235.2199999999998</v>
      </c>
      <c r="P17" s="404">
        <f>Packaging!H17</f>
        <v>25257.488445999996</v>
      </c>
      <c r="Q17" s="414">
        <f>'Material Consumption'!S15</f>
        <v>0</v>
      </c>
      <c r="R17" s="404">
        <f>'Material Consumption'!T15</f>
        <v>0</v>
      </c>
      <c r="S17" s="405">
        <f>IF(SUM(K17:R17)=0,"",SUM(K17:R17))</f>
        <v>310617.61894599994</v>
      </c>
    </row>
    <row r="18" spans="2:23" ht="18.75" thickBot="1">
      <c r="C18" s="109" t="s">
        <v>288</v>
      </c>
      <c r="D18" s="404">
        <f>'Material Consumption'!D16</f>
        <v>5946.93</v>
      </c>
      <c r="E18" s="410">
        <f>'Material Consumption'!E16</f>
        <v>0</v>
      </c>
      <c r="F18" s="410">
        <f>'Material Consumption'!F16</f>
        <v>0</v>
      </c>
      <c r="G18" s="404">
        <f>'Material Consumption'!G16</f>
        <v>33212.620000000003</v>
      </c>
      <c r="H18" s="410">
        <f>'Material Consumption'!J16</f>
        <v>0</v>
      </c>
      <c r="I18" s="77">
        <f t="shared" si="0"/>
        <v>39159.550000000003</v>
      </c>
      <c r="K18" s="404">
        <f>'Material Consumption'!M16</f>
        <v>44241.71</v>
      </c>
      <c r="L18" s="404">
        <f>'Material Consumption'!N16</f>
        <v>157175.87</v>
      </c>
      <c r="M18" s="404">
        <f>'Material Consumption'!O16</f>
        <v>10642.5725</v>
      </c>
      <c r="N18" s="404">
        <f>'Material Consumption'!P16</f>
        <v>0</v>
      </c>
      <c r="O18" s="413">
        <f>'Material Consumption'!Q16</f>
        <v>2899.57</v>
      </c>
      <c r="P18" s="415">
        <f>Packaging!H18</f>
        <v>25493.003435999999</v>
      </c>
      <c r="Q18" s="414">
        <f>'Material Consumption'!S16</f>
        <v>0</v>
      </c>
      <c r="R18" s="404">
        <f>'Material Consumption'!T16</f>
        <v>0</v>
      </c>
      <c r="S18" s="406">
        <f t="shared" si="1"/>
        <v>240452.725936</v>
      </c>
    </row>
    <row r="19" spans="2:23" ht="18.75" thickBot="1">
      <c r="C19" s="12" t="s">
        <v>334</v>
      </c>
      <c r="D19" s="79">
        <f>IF(SUM(D7:D18)=0,"",SUM(D7:D18))</f>
        <v>95875.706999999995</v>
      </c>
      <c r="E19" s="79" t="str">
        <f t="shared" ref="E19:I19" si="2">IF(SUM(E7:E18)=0,"",SUM(E7:E18))</f>
        <v/>
      </c>
      <c r="F19" s="79" t="str">
        <f t="shared" si="2"/>
        <v/>
      </c>
      <c r="G19" s="79">
        <f t="shared" si="2"/>
        <v>505973.04600000003</v>
      </c>
      <c r="H19" s="79" t="str">
        <f t="shared" si="2"/>
        <v/>
      </c>
      <c r="I19" s="79">
        <f t="shared" si="2"/>
        <v>601848.75300000003</v>
      </c>
      <c r="K19" s="79">
        <f>IF(SUM(K7:K18)=0,"",SUM(K7:K18))</f>
        <v>532443.74399999995</v>
      </c>
      <c r="L19" s="79">
        <f t="shared" ref="L19" si="3">IF(SUM(L7:L18)=0,"",SUM(L7:L18))</f>
        <v>2347293.432</v>
      </c>
      <c r="M19" s="79">
        <f t="shared" ref="M19:N19" si="4">IF(SUM(M7:M18)=0,"",SUM(M7:M18))</f>
        <v>119131.1725</v>
      </c>
      <c r="N19" s="79" t="str">
        <f t="shared" si="4"/>
        <v/>
      </c>
      <c r="O19" s="79">
        <f t="shared" ref="O19" si="5">IF(SUM(O7:O18)=0,"",SUM(O7:O18))</f>
        <v>21452.84</v>
      </c>
      <c r="P19" s="84">
        <f t="shared" ref="P19" si="6">IF(SUM(P7:P18)=0,"",SUM(P7:P18))</f>
        <v>315152.15440294589</v>
      </c>
      <c r="Q19" s="79" t="str">
        <f t="shared" ref="Q19" si="7">IF(SUM(Q7:Q18)=0,"",SUM(Q7:Q18))</f>
        <v/>
      </c>
      <c r="R19" s="79" t="str">
        <f t="shared" ref="R19" si="8">IF(SUM(R7:R18)=0,"",SUM(R7:R18))</f>
        <v/>
      </c>
      <c r="S19" s="79">
        <f>IF(SUM(S7:S18)=0,"",SUM(S7:S18))</f>
        <v>3335473.3429029463</v>
      </c>
    </row>
    <row r="20" spans="2:23" ht="18.75" thickBot="1">
      <c r="C20" s="12" t="s">
        <v>335</v>
      </c>
      <c r="D20" s="79">
        <f>IFERROR(AVERAGE(D7:D18),"")</f>
        <v>7989.6422499999999</v>
      </c>
      <c r="E20" s="79">
        <f t="shared" ref="E20:I20" si="9">IFERROR(AVERAGE(E7:E18),"")</f>
        <v>0</v>
      </c>
      <c r="F20" s="79">
        <f t="shared" si="9"/>
        <v>0</v>
      </c>
      <c r="G20" s="79">
        <f t="shared" si="9"/>
        <v>42164.4205</v>
      </c>
      <c r="H20" s="79">
        <f t="shared" si="9"/>
        <v>0</v>
      </c>
      <c r="I20" s="79">
        <f t="shared" si="9"/>
        <v>50154.062750000005</v>
      </c>
      <c r="K20" s="79">
        <f>IFERROR(AVERAGE(K7:K18),"")</f>
        <v>44370.311999999998</v>
      </c>
      <c r="L20" s="79">
        <f t="shared" ref="L20:S20" si="10">IFERROR(AVERAGE(L7:L18),"")</f>
        <v>195607.78599999999</v>
      </c>
      <c r="M20" s="79">
        <f t="shared" si="10"/>
        <v>9927.5977083333328</v>
      </c>
      <c r="N20" s="79">
        <f t="shared" si="10"/>
        <v>0</v>
      </c>
      <c r="O20" s="79">
        <f t="shared" si="10"/>
        <v>1787.7366666666667</v>
      </c>
      <c r="P20" s="79">
        <f t="shared" si="10"/>
        <v>26262.679533578823</v>
      </c>
      <c r="Q20" s="79">
        <f t="shared" si="10"/>
        <v>0</v>
      </c>
      <c r="R20" s="79">
        <f t="shared" si="10"/>
        <v>0</v>
      </c>
      <c r="S20" s="79">
        <f t="shared" si="10"/>
        <v>277956.11190857884</v>
      </c>
    </row>
    <row r="21" spans="2:23">
      <c r="D21" s="1981" t="s">
        <v>560</v>
      </c>
      <c r="E21" s="1981"/>
      <c r="F21" s="1981"/>
      <c r="G21" s="1981"/>
      <c r="H21" s="74"/>
      <c r="I21" s="74"/>
      <c r="K21" s="74"/>
      <c r="L21" s="74"/>
      <c r="M21" s="1981" t="s">
        <v>561</v>
      </c>
      <c r="N21" s="1981"/>
      <c r="O21" s="1981"/>
      <c r="P21" s="1981"/>
      <c r="Q21" s="74"/>
      <c r="R21" s="74"/>
      <c r="S21" s="74"/>
    </row>
    <row r="23" spans="2:23" ht="17.25" thickBot="1"/>
    <row r="24" spans="2:23" s="351" customFormat="1" ht="21.75" thickBot="1">
      <c r="C24" s="2035" t="s">
        <v>562</v>
      </c>
      <c r="D24" s="2035"/>
      <c r="E24" s="2035"/>
      <c r="F24" s="2035"/>
    </row>
    <row r="25" spans="2:23" ht="54.75" thickBot="1">
      <c r="B25" s="1685" t="s">
        <v>563</v>
      </c>
      <c r="C25" s="63" t="s">
        <v>121</v>
      </c>
      <c r="D25" s="68" t="s">
        <v>564</v>
      </c>
      <c r="E25" s="63" t="s">
        <v>565</v>
      </c>
      <c r="F25" s="68" t="s">
        <v>566</v>
      </c>
    </row>
    <row r="26" spans="2:23" ht="18">
      <c r="C26" s="9" t="s">
        <v>278</v>
      </c>
      <c r="D26" s="280">
        <f>'Purchased Materials'!D7</f>
        <v>296313</v>
      </c>
      <c r="E26" s="279">
        <f>'Purchased Materials'!E7</f>
        <v>584861</v>
      </c>
      <c r="F26" s="264">
        <f>IFERROR(D26/(D26+E26),"")</f>
        <v>0.33627070249462648</v>
      </c>
    </row>
    <row r="27" spans="2:23" ht="18">
      <c r="C27" s="10" t="s">
        <v>279</v>
      </c>
      <c r="D27" s="280">
        <f>'Purchased Materials'!D8</f>
        <v>161387</v>
      </c>
      <c r="E27" s="280">
        <f>'Purchased Materials'!E8</f>
        <v>629833</v>
      </c>
      <c r="F27" s="265">
        <f>IFERROR(D27/(D27+E27),"")</f>
        <v>0.203972346502869</v>
      </c>
      <c r="H27" s="352" t="s">
        <v>567</v>
      </c>
      <c r="I27" s="352"/>
      <c r="J27" s="352"/>
      <c r="K27" s="352"/>
      <c r="L27" s="352"/>
      <c r="M27" s="352"/>
      <c r="N27" s="352"/>
      <c r="O27" s="352"/>
      <c r="P27" s="352"/>
      <c r="Q27" s="352"/>
      <c r="R27" s="352"/>
      <c r="S27" s="352"/>
      <c r="T27" s="352"/>
      <c r="U27" s="352"/>
      <c r="V27" s="352"/>
      <c r="W27" s="352"/>
    </row>
    <row r="28" spans="2:23" ht="18">
      <c r="C28" s="10" t="s">
        <v>280</v>
      </c>
      <c r="D28" s="280">
        <f>'Purchased Materials'!D9</f>
        <v>170776.19</v>
      </c>
      <c r="E28" s="280">
        <f>'Purchased Materials'!E9</f>
        <v>820819.78</v>
      </c>
      <c r="F28" s="265">
        <f t="shared" ref="F28:F38" si="11">IFERROR(D28/(D28+E28),"")</f>
        <v>0.17222356198160024</v>
      </c>
      <c r="H28" s="352" t="s">
        <v>568</v>
      </c>
      <c r="I28" s="352"/>
      <c r="J28" s="352"/>
      <c r="K28" s="352"/>
      <c r="L28" s="352"/>
      <c r="M28" s="352"/>
      <c r="N28" s="352"/>
      <c r="O28" s="352"/>
      <c r="P28" s="352"/>
      <c r="Q28" s="352"/>
      <c r="R28" s="352"/>
      <c r="S28" s="352"/>
      <c r="T28" s="352"/>
      <c r="U28" s="352"/>
      <c r="V28" s="352"/>
      <c r="W28" s="352"/>
    </row>
    <row r="29" spans="2:23" ht="18">
      <c r="C29" s="10" t="s">
        <v>281</v>
      </c>
      <c r="D29" s="280">
        <f>'Purchased Materials'!D10</f>
        <v>181352</v>
      </c>
      <c r="E29" s="280">
        <f>'Purchased Materials'!E10</f>
        <v>643751</v>
      </c>
      <c r="F29" s="265">
        <f t="shared" si="11"/>
        <v>0.21979316521694867</v>
      </c>
      <c r="H29" s="352" t="s">
        <v>569</v>
      </c>
      <c r="I29" s="352"/>
      <c r="J29" s="352"/>
      <c r="K29" s="352"/>
      <c r="L29" s="352"/>
      <c r="M29" s="352"/>
      <c r="N29" s="352"/>
      <c r="O29" s="352"/>
      <c r="P29" s="352"/>
      <c r="Q29" s="352"/>
      <c r="R29" s="352"/>
      <c r="S29" s="352"/>
      <c r="T29" s="352"/>
      <c r="U29" s="352"/>
      <c r="V29" s="352"/>
      <c r="W29" s="352"/>
    </row>
    <row r="30" spans="2:23" ht="18">
      <c r="C30" s="10" t="s">
        <v>132</v>
      </c>
      <c r="D30" s="280">
        <f>'Purchased Materials'!D11</f>
        <v>119992</v>
      </c>
      <c r="E30" s="280">
        <f>'Purchased Materials'!E11</f>
        <v>841588</v>
      </c>
      <c r="F30" s="265">
        <f t="shared" si="11"/>
        <v>0.12478628923230517</v>
      </c>
      <c r="H30" s="352" t="s">
        <v>570</v>
      </c>
      <c r="I30" s="352"/>
      <c r="J30" s="352"/>
      <c r="K30" s="352"/>
      <c r="L30" s="352"/>
      <c r="M30" s="352"/>
      <c r="N30" s="352"/>
      <c r="O30" s="352"/>
      <c r="P30" s="352"/>
      <c r="Q30" s="352"/>
      <c r="R30" s="352"/>
      <c r="S30" s="352"/>
      <c r="T30" s="352"/>
      <c r="U30" s="352"/>
      <c r="V30" s="352"/>
      <c r="W30" s="352"/>
    </row>
    <row r="31" spans="2:23" ht="18">
      <c r="C31" s="10" t="s">
        <v>282</v>
      </c>
      <c r="D31" s="280">
        <f>'Purchased Materials'!D12</f>
        <v>202697</v>
      </c>
      <c r="E31" s="280">
        <f>'Purchased Materials'!E12</f>
        <v>648925</v>
      </c>
      <c r="F31" s="265">
        <f t="shared" si="11"/>
        <v>0.23801287425641893</v>
      </c>
      <c r="H31" s="352" t="s">
        <v>571</v>
      </c>
      <c r="I31" s="352"/>
      <c r="J31" s="352"/>
      <c r="K31" s="352"/>
      <c r="L31" s="352"/>
      <c r="M31" s="352"/>
      <c r="N31" s="352"/>
      <c r="O31" s="352"/>
      <c r="P31" s="352"/>
      <c r="Q31" s="352"/>
      <c r="R31" s="352"/>
      <c r="S31" s="352"/>
      <c r="T31" s="352"/>
      <c r="U31" s="352"/>
      <c r="V31" s="352"/>
      <c r="W31" s="352"/>
    </row>
    <row r="32" spans="2:23" ht="18">
      <c r="C32" s="10" t="s">
        <v>283</v>
      </c>
      <c r="D32" s="280">
        <f>'Purchased Materials'!D13</f>
        <v>190457</v>
      </c>
      <c r="E32" s="280">
        <f>'Purchased Materials'!E13</f>
        <v>814903</v>
      </c>
      <c r="F32" s="265">
        <f t="shared" si="11"/>
        <v>0.18944159306119202</v>
      </c>
      <c r="H32" s="352" t="s">
        <v>572</v>
      </c>
      <c r="I32" s="352"/>
      <c r="J32" s="352"/>
      <c r="K32" s="352"/>
      <c r="L32" s="352"/>
      <c r="M32" s="352"/>
      <c r="N32" s="352"/>
      <c r="O32" s="352"/>
      <c r="P32" s="352"/>
      <c r="Q32" s="352"/>
      <c r="R32" s="352"/>
      <c r="S32" s="352"/>
      <c r="T32" s="352"/>
      <c r="U32" s="352"/>
      <c r="V32" s="352"/>
      <c r="W32" s="352"/>
    </row>
    <row r="33" spans="2:23" ht="18" customHeight="1">
      <c r="C33" s="10" t="s">
        <v>284</v>
      </c>
      <c r="D33" s="280">
        <f>'Purchased Materials'!D14</f>
        <v>141825.96</v>
      </c>
      <c r="E33" s="280">
        <f>'Purchased Materials'!E14</f>
        <v>2089245.04</v>
      </c>
      <c r="F33" s="265">
        <f>IFERROR(D33/(D33+E33),"")</f>
        <v>6.3568555191654594E-2</v>
      </c>
      <c r="H33" s="352" t="s">
        <v>573</v>
      </c>
      <c r="I33" s="352"/>
      <c r="J33" s="352"/>
      <c r="K33" s="352"/>
      <c r="L33" s="352"/>
      <c r="M33" s="352"/>
      <c r="N33" s="352"/>
      <c r="O33" s="352"/>
      <c r="P33" s="352"/>
      <c r="Q33" s="352"/>
      <c r="R33" s="352"/>
      <c r="S33" s="352"/>
      <c r="T33" s="352"/>
      <c r="U33" s="352"/>
      <c r="V33" s="352"/>
      <c r="W33" s="352"/>
    </row>
    <row r="34" spans="2:23" ht="18">
      <c r="C34" s="10" t="s">
        <v>285</v>
      </c>
      <c r="D34" s="280">
        <f>'Purchased Materials'!D15</f>
        <v>294360</v>
      </c>
      <c r="E34" s="280">
        <f>'Purchased Materials'!E15</f>
        <v>1329762</v>
      </c>
      <c r="F34" s="265">
        <f t="shared" si="11"/>
        <v>0.18124254212429855</v>
      </c>
      <c r="I34" s="352"/>
      <c r="J34" s="352"/>
      <c r="K34" s="352"/>
      <c r="L34" s="352"/>
      <c r="M34" s="352"/>
      <c r="N34" s="352"/>
      <c r="O34" s="352"/>
      <c r="P34" s="352"/>
      <c r="Q34" s="352"/>
      <c r="R34" s="352"/>
      <c r="S34" s="352"/>
      <c r="T34" s="352"/>
      <c r="U34" s="352"/>
      <c r="V34" s="352"/>
      <c r="W34" s="352"/>
    </row>
    <row r="35" spans="2:23" ht="18" customHeight="1">
      <c r="C35" s="10" t="s">
        <v>286</v>
      </c>
      <c r="D35" s="280">
        <f>'Purchased Materials'!D16</f>
        <v>142628</v>
      </c>
      <c r="E35" s="280">
        <f>'Purchased Materials'!E16</f>
        <v>291889</v>
      </c>
      <c r="F35" s="265">
        <f t="shared" si="11"/>
        <v>0.32824492482457535</v>
      </c>
      <c r="H35" s="352"/>
      <c r="I35" s="352"/>
      <c r="J35" s="352"/>
      <c r="K35" s="352"/>
      <c r="L35" s="352"/>
      <c r="M35" s="352"/>
      <c r="N35" s="352"/>
      <c r="O35" s="352"/>
      <c r="P35" s="352"/>
      <c r="Q35" s="352"/>
      <c r="R35" s="352"/>
      <c r="S35" s="352"/>
      <c r="T35" s="352"/>
      <c r="U35" s="352"/>
      <c r="V35" s="352"/>
      <c r="W35" s="352"/>
    </row>
    <row r="36" spans="2:23" ht="18">
      <c r="C36" s="10" t="s">
        <v>287</v>
      </c>
      <c r="D36" s="280">
        <f>'Purchased Materials'!D17</f>
        <v>145425</v>
      </c>
      <c r="E36" s="280">
        <f>'Purchased Materials'!E17</f>
        <v>1032034</v>
      </c>
      <c r="F36" s="265">
        <f t="shared" si="11"/>
        <v>0.12350748518632071</v>
      </c>
    </row>
    <row r="37" spans="2:23" ht="18.75" thickBot="1">
      <c r="C37" s="109" t="s">
        <v>288</v>
      </c>
      <c r="D37" s="280">
        <f>'Purchased Materials'!D18</f>
        <v>300744.60889999999</v>
      </c>
      <c r="E37" s="280">
        <f>'Purchased Materials'!E18</f>
        <v>1230236.1510000001</v>
      </c>
      <c r="F37" s="266">
        <f t="shared" si="11"/>
        <v>0.19643918250131628</v>
      </c>
    </row>
    <row r="38" spans="2:23" ht="18.75" thickBot="1">
      <c r="C38" s="12" t="s">
        <v>334</v>
      </c>
      <c r="D38" s="79">
        <f>IF(SUM(D26:D37)=0,"",SUM(D26:D37))</f>
        <v>2347957.7588999998</v>
      </c>
      <c r="E38" s="79">
        <f>IF(SUM(E26:E37)=0,"",SUM(E26:E37))</f>
        <v>10957846.971000001</v>
      </c>
      <c r="F38" s="2036">
        <f t="shared" si="11"/>
        <v>0.17646116161796746</v>
      </c>
    </row>
    <row r="39" spans="2:23" ht="18.75" thickBot="1">
      <c r="C39" s="12" t="s">
        <v>335</v>
      </c>
      <c r="D39" s="79">
        <f>IFERROR(AVERAGE(D26:D37),"")</f>
        <v>195663.14657499999</v>
      </c>
      <c r="E39" s="79">
        <f>IFERROR(AVERAGE(E26:E37),"")</f>
        <v>913153.91425000003</v>
      </c>
      <c r="F39" s="2037"/>
    </row>
    <row r="41" spans="2:23">
      <c r="C41" s="2038" t="s">
        <v>574</v>
      </c>
      <c r="D41" s="2038"/>
      <c r="E41" s="2038"/>
      <c r="F41" s="2038"/>
      <c r="G41" s="2038"/>
    </row>
    <row r="46" spans="2:23" ht="17.25" thickBot="1"/>
    <row r="47" spans="2:23" ht="21.75" thickBot="1">
      <c r="C47" s="1970" t="s">
        <v>544</v>
      </c>
      <c r="D47" s="1970"/>
      <c r="E47" s="1970"/>
      <c r="F47" s="1970"/>
      <c r="G47" s="1970"/>
      <c r="H47" s="1970"/>
      <c r="I47" s="1970"/>
      <c r="J47" s="351"/>
      <c r="K47" s="2026" t="s">
        <v>545</v>
      </c>
      <c r="L47" s="2027"/>
      <c r="M47" s="2027"/>
      <c r="N47" s="2027"/>
      <c r="O47" s="2027"/>
      <c r="P47" s="2027"/>
      <c r="Q47" s="2027"/>
      <c r="R47" s="2027"/>
      <c r="S47" s="2028"/>
      <c r="T47" s="351"/>
    </row>
    <row r="48" spans="2:23" ht="54.75" thickBot="1">
      <c r="B48" s="1933">
        <v>2024</v>
      </c>
      <c r="C48" s="63" t="s">
        <v>121</v>
      </c>
      <c r="D48" s="68" t="s">
        <v>546</v>
      </c>
      <c r="E48" s="68" t="s">
        <v>547</v>
      </c>
      <c r="F48" s="68" t="s">
        <v>548</v>
      </c>
      <c r="G48" s="68" t="s">
        <v>549</v>
      </c>
      <c r="H48" s="68" t="s">
        <v>550</v>
      </c>
      <c r="I48" s="68" t="s">
        <v>334</v>
      </c>
      <c r="J48" s="71"/>
      <c r="K48" s="68" t="s">
        <v>551</v>
      </c>
      <c r="L48" s="68" t="s">
        <v>552</v>
      </c>
      <c r="M48" s="68" t="s">
        <v>553</v>
      </c>
      <c r="N48" s="63" t="s">
        <v>554</v>
      </c>
      <c r="O48" s="68" t="s">
        <v>555</v>
      </c>
      <c r="P48" s="69" t="s">
        <v>556</v>
      </c>
      <c r="Q48" s="68" t="s">
        <v>557</v>
      </c>
      <c r="R48" s="68" t="s">
        <v>550</v>
      </c>
      <c r="S48" s="68" t="s">
        <v>334</v>
      </c>
      <c r="T48" s="71"/>
    </row>
    <row r="49" spans="2:19" ht="18">
      <c r="B49" s="1933"/>
      <c r="C49" s="9" t="s">
        <v>278</v>
      </c>
      <c r="D49" s="403">
        <f>'Material Consumption'!D28</f>
        <v>10010.9</v>
      </c>
      <c r="E49" s="409">
        <f>'Material Consumption'!E28</f>
        <v>0</v>
      </c>
      <c r="F49" s="409">
        <f>'Material Consumption'!F28</f>
        <v>0</v>
      </c>
      <c r="G49" s="403">
        <f>'Material Consumption'!G28</f>
        <v>32596.200000000004</v>
      </c>
      <c r="H49" s="409">
        <f>'Material Consumption'!J28</f>
        <v>0</v>
      </c>
      <c r="I49" s="76">
        <f t="shared" ref="I49:I60" si="12">IF(SUM(D49:H49)=0,"",SUM(D49:H49))</f>
        <v>42607.100000000006</v>
      </c>
      <c r="K49" s="403">
        <f>'Material Consumption'!M28</f>
        <v>49898.369999999995</v>
      </c>
      <c r="L49" s="403">
        <f>'Material Consumption'!N28</f>
        <v>214161.33</v>
      </c>
      <c r="M49" s="403">
        <f>'Material Consumption'!O28</f>
        <v>4946.0974999999999</v>
      </c>
      <c r="N49" s="403">
        <f>'Material Consumption'!P28</f>
        <v>0</v>
      </c>
      <c r="O49" s="411">
        <f>'Material Consumption'!Q28</f>
        <v>3847.99</v>
      </c>
      <c r="P49" s="403">
        <f>'Material Consumption'!R28</f>
        <v>0</v>
      </c>
      <c r="Q49" s="412">
        <f>'Material Consumption'!S28</f>
        <v>0</v>
      </c>
      <c r="R49" s="403">
        <f>'Material Consumption'!T28</f>
        <v>0</v>
      </c>
      <c r="S49" s="407">
        <f>IF(SUM(K49:R49)=0,"",SUM(K49:R49))</f>
        <v>272853.78749999992</v>
      </c>
    </row>
    <row r="50" spans="2:19" ht="18">
      <c r="C50" s="10" t="s">
        <v>279</v>
      </c>
      <c r="D50" s="404">
        <f>'Material Consumption'!D29</f>
        <v>0</v>
      </c>
      <c r="E50" s="410">
        <f>'Material Consumption'!E29</f>
        <v>0</v>
      </c>
      <c r="F50" s="410">
        <f>'Material Consumption'!F29</f>
        <v>0</v>
      </c>
      <c r="G50" s="404">
        <f>'Material Consumption'!G29</f>
        <v>0</v>
      </c>
      <c r="H50" s="410">
        <f>'Material Consumption'!J29</f>
        <v>0</v>
      </c>
      <c r="I50" s="77" t="str">
        <f t="shared" si="12"/>
        <v/>
      </c>
      <c r="K50" s="404">
        <f>'Material Consumption'!M29</f>
        <v>0</v>
      </c>
      <c r="L50" s="404">
        <f>'Material Consumption'!N29</f>
        <v>0</v>
      </c>
      <c r="M50" s="404">
        <f>'Material Consumption'!O29</f>
        <v>0</v>
      </c>
      <c r="N50" s="404">
        <f>'Material Consumption'!P29</f>
        <v>0</v>
      </c>
      <c r="O50" s="413">
        <f>'Material Consumption'!Q29</f>
        <v>0</v>
      </c>
      <c r="P50" s="404">
        <f>'Material Consumption'!R29</f>
        <v>0</v>
      </c>
      <c r="Q50" s="414">
        <f>'Material Consumption'!S29</f>
        <v>0</v>
      </c>
      <c r="R50" s="404">
        <f>'Material Consumption'!T29</f>
        <v>0</v>
      </c>
      <c r="S50" s="408" t="str">
        <f t="shared" ref="S50:S58" si="13">IF(SUM(K50:R50)=0,"",SUM(K50:R50))</f>
        <v/>
      </c>
    </row>
    <row r="51" spans="2:19" ht="21">
      <c r="B51" s="1685" t="s">
        <v>558</v>
      </c>
      <c r="C51" s="10" t="s">
        <v>280</v>
      </c>
      <c r="D51" s="404">
        <f>'Material Consumption'!D30</f>
        <v>0</v>
      </c>
      <c r="E51" s="410">
        <f>'Material Consumption'!E30</f>
        <v>0</v>
      </c>
      <c r="F51" s="410">
        <f>'Material Consumption'!F30</f>
        <v>0</v>
      </c>
      <c r="G51" s="404">
        <f>'Material Consumption'!G30</f>
        <v>0</v>
      </c>
      <c r="H51" s="410">
        <f>'Material Consumption'!J30</f>
        <v>0</v>
      </c>
      <c r="I51" s="77" t="str">
        <f t="shared" si="12"/>
        <v/>
      </c>
      <c r="K51" s="404">
        <f>'Material Consumption'!M30</f>
        <v>0</v>
      </c>
      <c r="L51" s="404">
        <f>'Material Consumption'!N30</f>
        <v>0</v>
      </c>
      <c r="M51" s="404">
        <f>'Material Consumption'!O30</f>
        <v>0</v>
      </c>
      <c r="N51" s="404">
        <f>'Material Consumption'!P30</f>
        <v>0</v>
      </c>
      <c r="O51" s="413">
        <f>'Material Consumption'!Q30</f>
        <v>0</v>
      </c>
      <c r="P51" s="404">
        <f>'Material Consumption'!R30</f>
        <v>0</v>
      </c>
      <c r="Q51" s="414">
        <f>'Material Consumption'!S30</f>
        <v>0</v>
      </c>
      <c r="R51" s="404">
        <f>'Material Consumption'!T30</f>
        <v>0</v>
      </c>
      <c r="S51" s="408" t="str">
        <f t="shared" si="13"/>
        <v/>
      </c>
    </row>
    <row r="52" spans="2:19" ht="21">
      <c r="B52" s="1685" t="s">
        <v>559</v>
      </c>
      <c r="C52" s="10" t="s">
        <v>281</v>
      </c>
      <c r="D52" s="404">
        <f>'Material Consumption'!D31</f>
        <v>0</v>
      </c>
      <c r="E52" s="410">
        <f>'Material Consumption'!E31</f>
        <v>0</v>
      </c>
      <c r="F52" s="410">
        <f>'Material Consumption'!F31</f>
        <v>0</v>
      </c>
      <c r="G52" s="404">
        <f>'Material Consumption'!G31</f>
        <v>0</v>
      </c>
      <c r="H52" s="410">
        <f>'Material Consumption'!J31</f>
        <v>0</v>
      </c>
      <c r="I52" s="77" t="str">
        <f t="shared" si="12"/>
        <v/>
      </c>
      <c r="K52" s="404">
        <f>'Material Consumption'!M31</f>
        <v>0</v>
      </c>
      <c r="L52" s="404">
        <f>'Material Consumption'!N31</f>
        <v>0</v>
      </c>
      <c r="M52" s="404">
        <f>'Material Consumption'!O31</f>
        <v>0</v>
      </c>
      <c r="N52" s="404">
        <f>'Material Consumption'!P31</f>
        <v>0</v>
      </c>
      <c r="O52" s="413">
        <f>'Material Consumption'!Q31</f>
        <v>0</v>
      </c>
      <c r="P52" s="404">
        <f>'Material Consumption'!R31</f>
        <v>0</v>
      </c>
      <c r="Q52" s="414">
        <f>'Material Consumption'!S31</f>
        <v>0</v>
      </c>
      <c r="R52" s="404">
        <f>'Material Consumption'!T31</f>
        <v>0</v>
      </c>
      <c r="S52" s="405" t="str">
        <f t="shared" si="13"/>
        <v/>
      </c>
    </row>
    <row r="53" spans="2:19" ht="18">
      <c r="C53" s="10" t="s">
        <v>132</v>
      </c>
      <c r="D53" s="404">
        <f>'Material Consumption'!D32</f>
        <v>0</v>
      </c>
      <c r="E53" s="410">
        <f>'Material Consumption'!E32</f>
        <v>0</v>
      </c>
      <c r="F53" s="410">
        <f>'Material Consumption'!F32</f>
        <v>0</v>
      </c>
      <c r="G53" s="404">
        <f>'Material Consumption'!G32</f>
        <v>0</v>
      </c>
      <c r="H53" s="410">
        <f>'Material Consumption'!J32</f>
        <v>0</v>
      </c>
      <c r="I53" s="77" t="str">
        <f t="shared" si="12"/>
        <v/>
      </c>
      <c r="K53" s="404">
        <f>'Material Consumption'!M32</f>
        <v>0</v>
      </c>
      <c r="L53" s="404">
        <f>'Material Consumption'!N32</f>
        <v>0</v>
      </c>
      <c r="M53" s="404">
        <f>'Material Consumption'!O32</f>
        <v>0</v>
      </c>
      <c r="N53" s="404">
        <f>'Material Consumption'!P32</f>
        <v>0</v>
      </c>
      <c r="O53" s="413">
        <f>'Material Consumption'!Q32</f>
        <v>0</v>
      </c>
      <c r="P53" s="404" t="e">
        <f>'Material Consumption'!R32</f>
        <v>#REF!</v>
      </c>
      <c r="Q53" s="414">
        <f>'Material Consumption'!S32</f>
        <v>0</v>
      </c>
      <c r="R53" s="404">
        <f>'Material Consumption'!T32</f>
        <v>0</v>
      </c>
      <c r="S53" s="405" t="e">
        <f t="shared" si="13"/>
        <v>#REF!</v>
      </c>
    </row>
    <row r="54" spans="2:19" ht="18">
      <c r="C54" s="10" t="s">
        <v>282</v>
      </c>
      <c r="D54" s="404">
        <f>'Material Consumption'!D33</f>
        <v>0</v>
      </c>
      <c r="E54" s="410">
        <f>'Material Consumption'!E33</f>
        <v>0</v>
      </c>
      <c r="F54" s="410">
        <f>'Material Consumption'!F33</f>
        <v>0</v>
      </c>
      <c r="G54" s="404">
        <f>'Material Consumption'!G33</f>
        <v>0</v>
      </c>
      <c r="H54" s="410">
        <f>'Material Consumption'!J33</f>
        <v>0</v>
      </c>
      <c r="I54" s="77" t="str">
        <f t="shared" si="12"/>
        <v/>
      </c>
      <c r="K54" s="404">
        <f>'Material Consumption'!M33</f>
        <v>0</v>
      </c>
      <c r="L54" s="404">
        <f>'Material Consumption'!N33</f>
        <v>0</v>
      </c>
      <c r="M54" s="404">
        <f>'Material Consumption'!O33</f>
        <v>0</v>
      </c>
      <c r="N54" s="404">
        <f>'Material Consumption'!P33</f>
        <v>0</v>
      </c>
      <c r="O54" s="413">
        <f>'Material Consumption'!Q33</f>
        <v>0</v>
      </c>
      <c r="P54" s="404" t="e">
        <f>'Material Consumption'!R33</f>
        <v>#REF!</v>
      </c>
      <c r="Q54" s="414">
        <f>'Material Consumption'!S33</f>
        <v>0</v>
      </c>
      <c r="R54" s="404">
        <f>'Material Consumption'!T33</f>
        <v>0</v>
      </c>
      <c r="S54" s="405" t="e">
        <f t="shared" si="13"/>
        <v>#REF!</v>
      </c>
    </row>
    <row r="55" spans="2:19" ht="18">
      <c r="C55" s="10" t="s">
        <v>283</v>
      </c>
      <c r="D55" s="404">
        <f>'Material Consumption'!D34</f>
        <v>0</v>
      </c>
      <c r="E55" s="410">
        <f>'Material Consumption'!E34</f>
        <v>0</v>
      </c>
      <c r="F55" s="410">
        <f>'Material Consumption'!F34</f>
        <v>0</v>
      </c>
      <c r="G55" s="404">
        <f>'Material Consumption'!G34</f>
        <v>0</v>
      </c>
      <c r="H55" s="410">
        <f>'Material Consumption'!J34</f>
        <v>0</v>
      </c>
      <c r="I55" s="77" t="str">
        <f t="shared" si="12"/>
        <v/>
      </c>
      <c r="K55" s="404">
        <f>'Material Consumption'!M34</f>
        <v>0</v>
      </c>
      <c r="L55" s="404">
        <f>'Material Consumption'!N34</f>
        <v>0</v>
      </c>
      <c r="M55" s="404">
        <f>'Material Consumption'!O34</f>
        <v>0</v>
      </c>
      <c r="N55" s="404">
        <f>'Material Consumption'!P34</f>
        <v>0</v>
      </c>
      <c r="O55" s="413">
        <f>'Material Consumption'!Q34</f>
        <v>0</v>
      </c>
      <c r="P55" s="404" t="e">
        <f>'Material Consumption'!R34</f>
        <v>#REF!</v>
      </c>
      <c r="Q55" s="414">
        <f>'Material Consumption'!S34</f>
        <v>0</v>
      </c>
      <c r="R55" s="404">
        <f>'Material Consumption'!T34</f>
        <v>0</v>
      </c>
      <c r="S55" s="405" t="e">
        <f t="shared" si="13"/>
        <v>#REF!</v>
      </c>
    </row>
    <row r="56" spans="2:19" ht="18">
      <c r="C56" s="10" t="s">
        <v>284</v>
      </c>
      <c r="D56" s="404">
        <f>'Material Consumption'!D35</f>
        <v>0</v>
      </c>
      <c r="E56" s="410">
        <f>'Material Consumption'!E35</f>
        <v>0</v>
      </c>
      <c r="F56" s="410">
        <f>'Material Consumption'!F35</f>
        <v>0</v>
      </c>
      <c r="G56" s="404">
        <f>'Material Consumption'!G35</f>
        <v>0</v>
      </c>
      <c r="H56" s="410">
        <f>'Material Consumption'!J35</f>
        <v>0</v>
      </c>
      <c r="I56" s="77" t="str">
        <f t="shared" si="12"/>
        <v/>
      </c>
      <c r="K56" s="404">
        <f>'Material Consumption'!M35</f>
        <v>0</v>
      </c>
      <c r="L56" s="404">
        <f>'Material Consumption'!N35</f>
        <v>0</v>
      </c>
      <c r="M56" s="404">
        <f>'Material Consumption'!O35</f>
        <v>0</v>
      </c>
      <c r="N56" s="404">
        <f>'Material Consumption'!P35</f>
        <v>0</v>
      </c>
      <c r="O56" s="413">
        <f>'Material Consumption'!Q35</f>
        <v>0</v>
      </c>
      <c r="P56" s="404" t="e">
        <f>'Material Consumption'!R35</f>
        <v>#REF!</v>
      </c>
      <c r="Q56" s="414">
        <f>'Material Consumption'!S35</f>
        <v>0</v>
      </c>
      <c r="R56" s="404">
        <f>'Material Consumption'!T35</f>
        <v>0</v>
      </c>
      <c r="S56" s="405" t="e">
        <f t="shared" si="13"/>
        <v>#REF!</v>
      </c>
    </row>
    <row r="57" spans="2:19" ht="18">
      <c r="C57" s="10" t="s">
        <v>285</v>
      </c>
      <c r="D57" s="404">
        <f>'Material Consumption'!D36</f>
        <v>0</v>
      </c>
      <c r="E57" s="410">
        <f>'Material Consumption'!E36</f>
        <v>0</v>
      </c>
      <c r="F57" s="410">
        <f>'Material Consumption'!F36</f>
        <v>0</v>
      </c>
      <c r="G57" s="404">
        <f>'Material Consumption'!G36</f>
        <v>0</v>
      </c>
      <c r="H57" s="410">
        <f>'Material Consumption'!J36</f>
        <v>0</v>
      </c>
      <c r="I57" s="77" t="str">
        <f t="shared" si="12"/>
        <v/>
      </c>
      <c r="K57" s="404">
        <f>'Material Consumption'!M36</f>
        <v>0</v>
      </c>
      <c r="L57" s="404">
        <f>'Material Consumption'!N36</f>
        <v>0</v>
      </c>
      <c r="M57" s="404">
        <f>'Material Consumption'!O36</f>
        <v>0</v>
      </c>
      <c r="N57" s="404">
        <f>'Material Consumption'!P36</f>
        <v>0</v>
      </c>
      <c r="O57" s="413">
        <f>'Material Consumption'!Q36</f>
        <v>0</v>
      </c>
      <c r="P57" s="404" t="e">
        <f>'Material Consumption'!R36</f>
        <v>#REF!</v>
      </c>
      <c r="Q57" s="414">
        <f>'Material Consumption'!S36</f>
        <v>0</v>
      </c>
      <c r="R57" s="404">
        <f>'Material Consumption'!T36</f>
        <v>0</v>
      </c>
      <c r="S57" s="405" t="e">
        <f t="shared" si="13"/>
        <v>#REF!</v>
      </c>
    </row>
    <row r="58" spans="2:19" ht="18">
      <c r="C58" s="10" t="s">
        <v>286</v>
      </c>
      <c r="D58" s="404">
        <f>'Material Consumption'!D37</f>
        <v>0</v>
      </c>
      <c r="E58" s="410">
        <f>'Material Consumption'!E37</f>
        <v>0</v>
      </c>
      <c r="F58" s="410">
        <f>'Material Consumption'!F37</f>
        <v>0</v>
      </c>
      <c r="G58" s="404">
        <f>'Material Consumption'!G37</f>
        <v>0</v>
      </c>
      <c r="H58" s="410">
        <f>'Material Consumption'!J37</f>
        <v>0</v>
      </c>
      <c r="I58" s="77" t="str">
        <f t="shared" si="12"/>
        <v/>
      </c>
      <c r="K58" s="404">
        <f>'Material Consumption'!M37</f>
        <v>0</v>
      </c>
      <c r="L58" s="404">
        <f>'Material Consumption'!N37</f>
        <v>0</v>
      </c>
      <c r="M58" s="404">
        <f>'Material Consumption'!O37</f>
        <v>0</v>
      </c>
      <c r="N58" s="404">
        <f>'Material Consumption'!P37</f>
        <v>0</v>
      </c>
      <c r="O58" s="413">
        <f>'Material Consumption'!Q37</f>
        <v>0</v>
      </c>
      <c r="P58" s="404" t="e">
        <f>'Material Consumption'!R37</f>
        <v>#REF!</v>
      </c>
      <c r="Q58" s="414">
        <f>'Material Consumption'!S37</f>
        <v>0</v>
      </c>
      <c r="R58" s="404">
        <f>'Material Consumption'!T37</f>
        <v>0</v>
      </c>
      <c r="S58" s="405" t="e">
        <f t="shared" si="13"/>
        <v>#REF!</v>
      </c>
    </row>
    <row r="59" spans="2:19" ht="18">
      <c r="C59" s="10" t="s">
        <v>287</v>
      </c>
      <c r="D59" s="404">
        <f>'Material Consumption'!D38</f>
        <v>0</v>
      </c>
      <c r="E59" s="410">
        <f>'Material Consumption'!E38</f>
        <v>0</v>
      </c>
      <c r="F59" s="410">
        <f>'Material Consumption'!F38</f>
        <v>0</v>
      </c>
      <c r="G59" s="404">
        <f>'Material Consumption'!G38</f>
        <v>0</v>
      </c>
      <c r="H59" s="410">
        <f>'Material Consumption'!J38</f>
        <v>0</v>
      </c>
      <c r="I59" s="77" t="str">
        <f t="shared" si="12"/>
        <v/>
      </c>
      <c r="K59" s="404">
        <f>'Material Consumption'!M38</f>
        <v>0</v>
      </c>
      <c r="L59" s="404">
        <f>'Material Consumption'!N38</f>
        <v>0</v>
      </c>
      <c r="M59" s="404">
        <f>'Material Consumption'!O38</f>
        <v>0</v>
      </c>
      <c r="N59" s="404">
        <f>'Material Consumption'!P38</f>
        <v>0</v>
      </c>
      <c r="O59" s="413">
        <f>'Material Consumption'!Q38</f>
        <v>0</v>
      </c>
      <c r="P59" s="404" t="e">
        <f>'Material Consumption'!R38</f>
        <v>#REF!</v>
      </c>
      <c r="Q59" s="414">
        <f>'Material Consumption'!S38</f>
        <v>0</v>
      </c>
      <c r="R59" s="404">
        <f>'Material Consumption'!T38</f>
        <v>0</v>
      </c>
      <c r="S59" s="405" t="e">
        <f>IF(SUM(K59:R59)=0,"",SUM(K59:R59))</f>
        <v>#REF!</v>
      </c>
    </row>
    <row r="60" spans="2:19" ht="18.75" thickBot="1">
      <c r="C60" s="109" t="s">
        <v>288</v>
      </c>
      <c r="D60" s="404">
        <f>'Material Consumption'!D39</f>
        <v>0</v>
      </c>
      <c r="E60" s="410">
        <f>'Material Consumption'!E39</f>
        <v>0</v>
      </c>
      <c r="F60" s="410">
        <f>'Material Consumption'!F39</f>
        <v>0</v>
      </c>
      <c r="G60" s="404">
        <f>'Material Consumption'!G39</f>
        <v>0</v>
      </c>
      <c r="H60" s="410">
        <f>'Material Consumption'!J39</f>
        <v>0</v>
      </c>
      <c r="I60" s="77" t="str">
        <f t="shared" si="12"/>
        <v/>
      </c>
      <c r="K60" s="404">
        <f>'Material Consumption'!M39</f>
        <v>0</v>
      </c>
      <c r="L60" s="404">
        <f>'Material Consumption'!N39</f>
        <v>0</v>
      </c>
      <c r="M60" s="404">
        <f>'Material Consumption'!O39</f>
        <v>0</v>
      </c>
      <c r="N60" s="404">
        <f>'Material Consumption'!P39</f>
        <v>0</v>
      </c>
      <c r="O60" s="413">
        <f>'Material Consumption'!Q39</f>
        <v>0</v>
      </c>
      <c r="P60" s="404" t="e">
        <f>'Material Consumption'!R39</f>
        <v>#REF!</v>
      </c>
      <c r="Q60" s="414">
        <f>'Material Consumption'!S39</f>
        <v>0</v>
      </c>
      <c r="R60" s="404">
        <f>'Material Consumption'!T39</f>
        <v>0</v>
      </c>
      <c r="S60" s="406" t="e">
        <f t="shared" ref="S60" si="14">IF(SUM(K60:R60)=0,"",SUM(K60:R60))</f>
        <v>#REF!</v>
      </c>
    </row>
    <row r="61" spans="2:19" ht="18.75" thickBot="1">
      <c r="C61" s="12" t="s">
        <v>334</v>
      </c>
      <c r="D61" s="79">
        <f>IF(SUM(D49:D60)=0,"",SUM(D49:D60))</f>
        <v>10010.9</v>
      </c>
      <c r="E61" s="79" t="str">
        <f t="shared" ref="E61:I61" si="15">IF(SUM(E49:E60)=0,"",SUM(E49:E60))</f>
        <v/>
      </c>
      <c r="F61" s="79" t="str">
        <f t="shared" si="15"/>
        <v/>
      </c>
      <c r="G61" s="79">
        <f t="shared" si="15"/>
        <v>32596.200000000004</v>
      </c>
      <c r="H61" s="79" t="str">
        <f t="shared" si="15"/>
        <v/>
      </c>
      <c r="I61" s="79">
        <f t="shared" si="15"/>
        <v>42607.100000000006</v>
      </c>
      <c r="K61" s="79">
        <f>IF(SUM(K49:K60)=0,"",SUM(K49:K60))</f>
        <v>49898.369999999995</v>
      </c>
      <c r="L61" s="79">
        <f t="shared" ref="L61:R61" si="16">IF(SUM(L49:L60)=0,"",SUM(L49:L60))</f>
        <v>214161.33</v>
      </c>
      <c r="M61" s="79">
        <f t="shared" si="16"/>
        <v>4946.0974999999999</v>
      </c>
      <c r="N61" s="79" t="str">
        <f t="shared" si="16"/>
        <v/>
      </c>
      <c r="O61" s="79">
        <f t="shared" si="16"/>
        <v>3847.99</v>
      </c>
      <c r="P61" s="84" t="e">
        <f t="shared" si="16"/>
        <v>#REF!</v>
      </c>
      <c r="Q61" s="79" t="str">
        <f t="shared" si="16"/>
        <v/>
      </c>
      <c r="R61" s="79" t="str">
        <f t="shared" si="16"/>
        <v/>
      </c>
      <c r="S61" s="79" t="e">
        <f>IF(SUM(S49:S60)=0,"",SUM(S49:S60))</f>
        <v>#REF!</v>
      </c>
    </row>
    <row r="62" spans="2:19" ht="18.75" thickBot="1">
      <c r="C62" s="12" t="s">
        <v>335</v>
      </c>
      <c r="D62" s="79">
        <f>IFERROR(AVERAGE(D49:D60),"")</f>
        <v>834.24166666666667</v>
      </c>
      <c r="E62" s="79">
        <f t="shared" ref="E62:I62" si="17">IFERROR(AVERAGE(E49:E60),"")</f>
        <v>0</v>
      </c>
      <c r="F62" s="79">
        <f t="shared" si="17"/>
        <v>0</v>
      </c>
      <c r="G62" s="79">
        <f t="shared" si="17"/>
        <v>2716.3500000000004</v>
      </c>
      <c r="H62" s="79">
        <f t="shared" si="17"/>
        <v>0</v>
      </c>
      <c r="I62" s="79">
        <f t="shared" si="17"/>
        <v>42607.100000000006</v>
      </c>
      <c r="K62" s="79">
        <f>IFERROR(AVERAGE(K49:K60),"")</f>
        <v>4158.1974999999993</v>
      </c>
      <c r="L62" s="79">
        <f t="shared" ref="L62:S62" si="18">IFERROR(AVERAGE(L49:L60),"")</f>
        <v>17846.7775</v>
      </c>
      <c r="M62" s="79">
        <f t="shared" si="18"/>
        <v>412.17479166666664</v>
      </c>
      <c r="N62" s="79">
        <f t="shared" si="18"/>
        <v>0</v>
      </c>
      <c r="O62" s="79">
        <f t="shared" si="18"/>
        <v>320.6658333333333</v>
      </c>
      <c r="P62" s="79" t="str">
        <f t="shared" si="18"/>
        <v/>
      </c>
      <c r="Q62" s="79">
        <f t="shared" si="18"/>
        <v>0</v>
      </c>
      <c r="R62" s="79">
        <f t="shared" si="18"/>
        <v>0</v>
      </c>
      <c r="S62" s="79" t="str">
        <f t="shared" si="18"/>
        <v/>
      </c>
    </row>
    <row r="63" spans="2:19">
      <c r="D63" s="1981" t="s">
        <v>560</v>
      </c>
      <c r="E63" s="1981"/>
      <c r="F63" s="1981"/>
      <c r="G63" s="1981"/>
      <c r="H63" s="74"/>
      <c r="I63" s="74"/>
      <c r="K63" s="74"/>
      <c r="L63" s="74"/>
      <c r="M63" s="1981" t="s">
        <v>561</v>
      </c>
      <c r="N63" s="1981"/>
      <c r="O63" s="1981"/>
      <c r="P63" s="1981"/>
      <c r="Q63" s="74"/>
      <c r="R63" s="74"/>
      <c r="S63" s="74"/>
    </row>
    <row r="65" spans="2:20" ht="17.25" thickBot="1"/>
    <row r="66" spans="2:20" ht="21.75" thickBot="1">
      <c r="C66" s="2035" t="s">
        <v>562</v>
      </c>
      <c r="D66" s="2035"/>
      <c r="E66" s="2035"/>
      <c r="F66" s="2035"/>
      <c r="G66" s="351"/>
      <c r="H66" s="351"/>
      <c r="I66" s="351"/>
      <c r="J66" s="351"/>
      <c r="K66" s="351"/>
      <c r="L66" s="351"/>
      <c r="M66" s="351"/>
      <c r="N66" s="351"/>
      <c r="O66" s="351"/>
      <c r="P66" s="351"/>
      <c r="Q66" s="351"/>
      <c r="R66" s="351"/>
      <c r="S66" s="351"/>
      <c r="T66" s="351"/>
    </row>
    <row r="67" spans="2:20" ht="54.75" thickBot="1">
      <c r="C67" s="63" t="s">
        <v>121</v>
      </c>
      <c r="D67" s="68" t="s">
        <v>564</v>
      </c>
      <c r="E67" s="63" t="s">
        <v>565</v>
      </c>
      <c r="F67" s="68" t="s">
        <v>566</v>
      </c>
    </row>
    <row r="68" spans="2:20" ht="18">
      <c r="C68" s="9" t="s">
        <v>278</v>
      </c>
      <c r="D68" s="280">
        <f>'Purchased Materials'!D29</f>
        <v>219878</v>
      </c>
      <c r="E68" s="279">
        <f>'Purchased Materials'!E29</f>
        <v>506259</v>
      </c>
      <c r="F68" s="264">
        <f>IFERROR(D68/(D68+E68),"")</f>
        <v>0.30280511804246307</v>
      </c>
    </row>
    <row r="69" spans="2:20" ht="21">
      <c r="B69" s="1685" t="s">
        <v>563</v>
      </c>
      <c r="C69" s="10" t="s">
        <v>279</v>
      </c>
      <c r="D69" s="280">
        <f>'Purchased Materials'!D30</f>
        <v>0</v>
      </c>
      <c r="E69" s="280">
        <f>'Purchased Materials'!E30</f>
        <v>0</v>
      </c>
      <c r="F69" s="265" t="str">
        <f>IFERROR(D69/(D69+E69),"")</f>
        <v/>
      </c>
      <c r="H69" s="352" t="s">
        <v>567</v>
      </c>
      <c r="I69" s="352"/>
      <c r="J69" s="352"/>
      <c r="K69" s="352"/>
      <c r="L69" s="352"/>
      <c r="M69" s="352"/>
      <c r="N69" s="352"/>
      <c r="O69" s="352"/>
      <c r="P69" s="352"/>
      <c r="Q69" s="352"/>
      <c r="R69" s="352"/>
      <c r="S69" s="352"/>
      <c r="T69" s="352"/>
    </row>
    <row r="70" spans="2:20" ht="18">
      <c r="C70" s="10" t="s">
        <v>280</v>
      </c>
      <c r="D70" s="280">
        <f>'Purchased Materials'!D31</f>
        <v>0</v>
      </c>
      <c r="E70" s="280">
        <f>'Purchased Materials'!E31</f>
        <v>0</v>
      </c>
      <c r="F70" s="265" t="str">
        <f t="shared" ref="F70:F74" si="19">IFERROR(D70/(D70+E70),"")</f>
        <v/>
      </c>
      <c r="H70" s="352" t="s">
        <v>568</v>
      </c>
      <c r="I70" s="352"/>
      <c r="J70" s="352"/>
      <c r="K70" s="352"/>
      <c r="L70" s="352"/>
      <c r="M70" s="352"/>
      <c r="N70" s="352"/>
      <c r="O70" s="352"/>
      <c r="P70" s="352"/>
      <c r="Q70" s="352"/>
      <c r="R70" s="352"/>
      <c r="S70" s="352"/>
      <c r="T70" s="352"/>
    </row>
    <row r="71" spans="2:20" ht="18">
      <c r="C71" s="10" t="s">
        <v>281</v>
      </c>
      <c r="D71" s="280">
        <f>'Purchased Materials'!D32</f>
        <v>0</v>
      </c>
      <c r="E71" s="280">
        <f>'Purchased Materials'!E32</f>
        <v>0</v>
      </c>
      <c r="F71" s="265" t="str">
        <f t="shared" si="19"/>
        <v/>
      </c>
      <c r="H71" s="352" t="s">
        <v>569</v>
      </c>
      <c r="I71" s="352"/>
      <c r="J71" s="352"/>
      <c r="K71" s="352"/>
      <c r="L71" s="352"/>
      <c r="M71" s="352"/>
      <c r="N71" s="352"/>
      <c r="O71" s="352"/>
      <c r="P71" s="352"/>
      <c r="Q71" s="352"/>
      <c r="R71" s="352"/>
      <c r="S71" s="352"/>
      <c r="T71" s="352"/>
    </row>
    <row r="72" spans="2:20" ht="18">
      <c r="C72" s="10" t="s">
        <v>132</v>
      </c>
      <c r="D72" s="280">
        <f>'Purchased Materials'!D33</f>
        <v>0</v>
      </c>
      <c r="E72" s="280">
        <f>'Purchased Materials'!E33</f>
        <v>0</v>
      </c>
      <c r="F72" s="265" t="str">
        <f t="shared" si="19"/>
        <v/>
      </c>
      <c r="H72" s="352" t="s">
        <v>570</v>
      </c>
      <c r="I72" s="352"/>
      <c r="J72" s="352"/>
      <c r="K72" s="352"/>
      <c r="L72" s="352"/>
      <c r="M72" s="352"/>
      <c r="N72" s="352"/>
      <c r="O72" s="352"/>
      <c r="P72" s="352"/>
      <c r="Q72" s="352"/>
      <c r="R72" s="352"/>
      <c r="S72" s="352"/>
      <c r="T72" s="352"/>
    </row>
    <row r="73" spans="2:20" ht="18">
      <c r="C73" s="10" t="s">
        <v>282</v>
      </c>
      <c r="D73" s="280">
        <f>'Purchased Materials'!D34</f>
        <v>0</v>
      </c>
      <c r="E73" s="280">
        <f>'Purchased Materials'!E34</f>
        <v>0</v>
      </c>
      <c r="F73" s="265" t="str">
        <f t="shared" si="19"/>
        <v/>
      </c>
      <c r="H73" s="352" t="s">
        <v>571</v>
      </c>
      <c r="I73" s="352"/>
      <c r="J73" s="352"/>
      <c r="K73" s="352"/>
      <c r="L73" s="352"/>
      <c r="M73" s="352"/>
      <c r="N73" s="352"/>
      <c r="O73" s="352"/>
      <c r="P73" s="352"/>
      <c r="Q73" s="352"/>
      <c r="R73" s="352"/>
      <c r="S73" s="352"/>
      <c r="T73" s="352"/>
    </row>
    <row r="74" spans="2:20" ht="18">
      <c r="C74" s="10" t="s">
        <v>283</v>
      </c>
      <c r="D74" s="280">
        <f>'Purchased Materials'!D35</f>
        <v>0</v>
      </c>
      <c r="E74" s="280">
        <f>'Purchased Materials'!E35</f>
        <v>0</v>
      </c>
      <c r="F74" s="265" t="str">
        <f t="shared" si="19"/>
        <v/>
      </c>
      <c r="H74" s="352" t="s">
        <v>572</v>
      </c>
      <c r="I74" s="352"/>
      <c r="J74" s="352"/>
      <c r="K74" s="352"/>
      <c r="L74" s="352"/>
      <c r="M74" s="352"/>
      <c r="N74" s="352"/>
      <c r="O74" s="352"/>
      <c r="P74" s="352"/>
      <c r="Q74" s="352"/>
      <c r="R74" s="352"/>
      <c r="S74" s="352"/>
      <c r="T74" s="352"/>
    </row>
    <row r="75" spans="2:20" ht="18">
      <c r="C75" s="10" t="s">
        <v>284</v>
      </c>
      <c r="D75" s="280">
        <f>'Purchased Materials'!D36</f>
        <v>0</v>
      </c>
      <c r="E75" s="280">
        <f>'Purchased Materials'!E36</f>
        <v>0</v>
      </c>
      <c r="F75" s="265" t="str">
        <f>IFERROR(D75/(D75+E75),"")</f>
        <v/>
      </c>
      <c r="H75" s="352" t="s">
        <v>573</v>
      </c>
      <c r="I75" s="352"/>
      <c r="J75" s="352"/>
      <c r="K75" s="352"/>
      <c r="L75" s="352"/>
      <c r="M75" s="352"/>
      <c r="N75" s="352"/>
      <c r="O75" s="352"/>
      <c r="P75" s="352"/>
      <c r="Q75" s="352"/>
      <c r="R75" s="352"/>
      <c r="S75" s="352"/>
      <c r="T75" s="352"/>
    </row>
    <row r="76" spans="2:20" ht="18">
      <c r="C76" s="10" t="s">
        <v>285</v>
      </c>
      <c r="D76" s="280">
        <f>'Purchased Materials'!D37</f>
        <v>0</v>
      </c>
      <c r="E76" s="280">
        <f>'Purchased Materials'!E37</f>
        <v>0</v>
      </c>
      <c r="F76" s="265" t="str">
        <f t="shared" ref="F76:F80" si="20">IFERROR(D76/(D76+E76),"")</f>
        <v/>
      </c>
      <c r="I76" s="352"/>
      <c r="J76" s="352"/>
      <c r="K76" s="352"/>
      <c r="L76" s="352"/>
      <c r="M76" s="352"/>
      <c r="N76" s="352"/>
      <c r="O76" s="352"/>
      <c r="P76" s="352"/>
      <c r="Q76" s="352"/>
      <c r="R76" s="352"/>
      <c r="S76" s="352"/>
      <c r="T76" s="352"/>
    </row>
    <row r="77" spans="2:20" ht="18">
      <c r="C77" s="10" t="s">
        <v>286</v>
      </c>
      <c r="D77" s="280">
        <f>'Purchased Materials'!D38</f>
        <v>0</v>
      </c>
      <c r="E77" s="280">
        <f>'Purchased Materials'!E38</f>
        <v>0</v>
      </c>
      <c r="F77" s="265" t="str">
        <f t="shared" si="20"/>
        <v/>
      </c>
      <c r="H77" s="352"/>
      <c r="I77" s="352"/>
      <c r="J77" s="352"/>
      <c r="K77" s="352"/>
      <c r="L77" s="352"/>
      <c r="M77" s="352"/>
      <c r="N77" s="352"/>
      <c r="O77" s="352"/>
      <c r="P77" s="352"/>
      <c r="Q77" s="352"/>
      <c r="R77" s="352"/>
      <c r="S77" s="352"/>
      <c r="T77" s="352"/>
    </row>
    <row r="78" spans="2:20" ht="18">
      <c r="C78" s="10" t="s">
        <v>287</v>
      </c>
      <c r="D78" s="280">
        <f>'Purchased Materials'!D39</f>
        <v>0</v>
      </c>
      <c r="E78" s="280">
        <f>'Purchased Materials'!E39</f>
        <v>0</v>
      </c>
      <c r="F78" s="265" t="str">
        <f t="shared" si="20"/>
        <v/>
      </c>
    </row>
    <row r="79" spans="2:20" ht="18.75" thickBot="1">
      <c r="C79" s="109" t="s">
        <v>288</v>
      </c>
      <c r="D79" s="280">
        <f>'Purchased Materials'!D40</f>
        <v>0</v>
      </c>
      <c r="E79" s="280">
        <f>'Purchased Materials'!E40</f>
        <v>0</v>
      </c>
      <c r="F79" s="266" t="str">
        <f t="shared" si="20"/>
        <v/>
      </c>
    </row>
    <row r="80" spans="2:20" ht="18.75" thickBot="1">
      <c r="C80" s="12" t="s">
        <v>334</v>
      </c>
      <c r="D80" s="79">
        <f>IF(SUM(D68:D79)=0,"",SUM(D68:D79))</f>
        <v>219878</v>
      </c>
      <c r="E80" s="79">
        <f>IF(SUM(E68:E79)=0,"",SUM(E68:E79))</f>
        <v>506259</v>
      </c>
      <c r="F80" s="2036">
        <f t="shared" si="20"/>
        <v>0.30280511804246307</v>
      </c>
    </row>
    <row r="81" spans="3:7" ht="18.75" thickBot="1">
      <c r="C81" s="12" t="s">
        <v>335</v>
      </c>
      <c r="D81" s="79">
        <f>IFERROR(AVERAGE(D68:D79),"")</f>
        <v>18323.166666666668</v>
      </c>
      <c r="E81" s="79">
        <f>IFERROR(AVERAGE(E68:E79),"")</f>
        <v>42188.25</v>
      </c>
      <c r="F81" s="2037"/>
    </row>
    <row r="83" spans="3:7">
      <c r="C83" s="2038" t="s">
        <v>574</v>
      </c>
      <c r="D83" s="2038"/>
      <c r="E83" s="2038"/>
      <c r="F83" s="2038"/>
      <c r="G83" s="2038"/>
    </row>
  </sheetData>
  <mergeCells count="16">
    <mergeCell ref="K47:S47"/>
    <mergeCell ref="D63:G63"/>
    <mergeCell ref="M63:P63"/>
    <mergeCell ref="C5:I5"/>
    <mergeCell ref="K5:S5"/>
    <mergeCell ref="C24:F24"/>
    <mergeCell ref="C41:G41"/>
    <mergeCell ref="F38:F39"/>
    <mergeCell ref="M21:P21"/>
    <mergeCell ref="D21:G21"/>
    <mergeCell ref="C66:F66"/>
    <mergeCell ref="F80:F81"/>
    <mergeCell ref="C83:G83"/>
    <mergeCell ref="B6:B7"/>
    <mergeCell ref="B48:B49"/>
    <mergeCell ref="C47:I47"/>
  </mergeCells>
  <pageMargins left="0.7" right="0.7" top="0.75" bottom="0.75" header="0.3" footer="0.3"/>
  <pageSetup orientation="portrait" horizontalDpi="4294967295" verticalDpi="4294967295"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70CD9-79E6-4230-8027-A23FB33D3A0A}">
  <dimension ref="A1:M58"/>
  <sheetViews>
    <sheetView showGridLines="0" zoomScale="130" zoomScaleNormal="130" workbookViewId="0">
      <pane xSplit="1" ySplit="3" topLeftCell="B4" activePane="bottomRight" state="frozen"/>
      <selection pane="topRight" activeCell="B1" sqref="B1"/>
      <selection pane="bottomLeft" activeCell="A4" sqref="A4"/>
      <selection pane="bottomRight" activeCell="L25" sqref="L25"/>
    </sheetView>
  </sheetViews>
  <sheetFormatPr defaultColWidth="14.140625" defaultRowHeight="16.5"/>
  <cols>
    <col min="1" max="1" width="34.7109375" style="41" customWidth="1"/>
    <col min="2" max="2" width="10.140625" style="41" bestFit="1" customWidth="1"/>
    <col min="3" max="5" width="14.140625" style="41"/>
    <col min="6" max="6" width="16" style="41" customWidth="1"/>
    <col min="7" max="7" width="19.85546875" style="41" customWidth="1"/>
    <col min="8" max="16384" width="14.140625" style="41"/>
  </cols>
  <sheetData>
    <row r="1" spans="1:11" ht="33.75" customHeight="1"/>
    <row r="2" spans="1:11" ht="33.75" customHeight="1"/>
    <row r="3" spans="1:11" ht="33.75" customHeight="1"/>
    <row r="4" spans="1:11" ht="17.25" thickBot="1"/>
    <row r="5" spans="1:11" ht="21.75" thickBot="1">
      <c r="B5" s="1967" t="s">
        <v>575</v>
      </c>
      <c r="C5" s="1968"/>
      <c r="D5" s="1968"/>
      <c r="E5" s="1968"/>
      <c r="F5" s="1968"/>
      <c r="G5" s="1968"/>
      <c r="H5" s="1968"/>
      <c r="I5" s="1968"/>
      <c r="J5" s="1968"/>
      <c r="K5" s="1969"/>
    </row>
    <row r="6" spans="1:11" s="71" customFormat="1" ht="36.75" thickBot="1">
      <c r="A6" s="1933">
        <v>2023</v>
      </c>
      <c r="B6" s="68" t="s">
        <v>121</v>
      </c>
      <c r="C6" s="68" t="s">
        <v>221</v>
      </c>
      <c r="D6" s="68" t="s">
        <v>576</v>
      </c>
      <c r="E6" s="68" t="s">
        <v>577</v>
      </c>
      <c r="F6" s="68" t="s">
        <v>578</v>
      </c>
      <c r="G6" s="68" t="s">
        <v>579</v>
      </c>
      <c r="H6" s="68" t="s">
        <v>580</v>
      </c>
      <c r="I6" s="68" t="s">
        <v>581</v>
      </c>
      <c r="J6" s="68" t="s">
        <v>582</v>
      </c>
      <c r="K6" s="68" t="s">
        <v>583</v>
      </c>
    </row>
    <row r="7" spans="1:11" ht="18">
      <c r="A7" s="1933"/>
      <c r="B7" s="108" t="s">
        <v>278</v>
      </c>
      <c r="C7" s="310">
        <f>'Packaging Raw Data File'!Y6</f>
        <v>1452.8447660810809</v>
      </c>
      <c r="D7" s="310">
        <f>'Packaging Raw Data File'!F53</f>
        <v>11063.52</v>
      </c>
      <c r="E7" s="310">
        <f>'Packaging Raw Data File'!E53</f>
        <v>16595.28</v>
      </c>
      <c r="F7" s="310"/>
      <c r="G7" s="310">
        <f>'Packaging Raw Data File'!R22</f>
        <v>3551.3147759999997</v>
      </c>
      <c r="H7" s="305">
        <f>IF(SUM(C7:G7)=0,"",SUM(C7:G7))</f>
        <v>32662.95954208108</v>
      </c>
      <c r="I7" s="312">
        <f>'Packaging Raw Data File'!O38</f>
        <v>270</v>
      </c>
      <c r="J7" s="306">
        <f>IFERROR(C7/H7,"")</f>
        <v>4.4479887507110898E-2</v>
      </c>
      <c r="K7" s="306">
        <f>IFERROR(E7/(D7+E7),"")</f>
        <v>0.6</v>
      </c>
    </row>
    <row r="8" spans="1:11" ht="18">
      <c r="B8" s="10" t="s">
        <v>279</v>
      </c>
      <c r="C8" s="311">
        <f>'Packaging Raw Data File'!Y7</f>
        <v>934.28930800000001</v>
      </c>
      <c r="D8" s="311">
        <f>'Packaging Raw Data File'!F54</f>
        <v>6445.92</v>
      </c>
      <c r="E8" s="311">
        <f>'Packaging Raw Data File'!E54</f>
        <v>9668.8799999999992</v>
      </c>
      <c r="F8" s="311"/>
      <c r="G8" s="311">
        <f>'Packaging Raw Data File'!R23</f>
        <v>2643.0809800000002</v>
      </c>
      <c r="H8" s="307">
        <f t="shared" ref="H8:H18" si="0">IF(SUM(C8:G8)=0,"",SUM(C8:G8))</f>
        <v>19692.170287999998</v>
      </c>
      <c r="I8" s="313">
        <f>'Packaging Raw Data File'!O39</f>
        <v>0</v>
      </c>
      <c r="J8" s="308">
        <f t="shared" ref="J8:J19" si="1">IFERROR(C8/H8,"")</f>
        <v>4.7444709970304116E-2</v>
      </c>
      <c r="K8" s="308">
        <f t="shared" ref="K8:K18" si="2">IFERROR(E8/(D8+E8),"")</f>
        <v>0.6</v>
      </c>
    </row>
    <row r="9" spans="1:11" ht="21">
      <c r="A9" s="1685" t="s">
        <v>584</v>
      </c>
      <c r="B9" s="10" t="s">
        <v>280</v>
      </c>
      <c r="C9" s="311">
        <f>'Packaging Raw Data File'!Y8</f>
        <v>1408.3845879999999</v>
      </c>
      <c r="D9" s="311">
        <f>'Packaging Raw Data File'!F55</f>
        <v>7050.72</v>
      </c>
      <c r="E9" s="311">
        <f>'Packaging Raw Data File'!E55</f>
        <v>10576.08</v>
      </c>
      <c r="F9" s="311"/>
      <c r="G9" s="311">
        <f>'Packaging Raw Data File'!R24</f>
        <v>3868.2256919999995</v>
      </c>
      <c r="H9" s="307">
        <f t="shared" si="0"/>
        <v>22903.41028</v>
      </c>
      <c r="I9" s="313">
        <f>'Packaging Raw Data File'!O40</f>
        <v>120</v>
      </c>
      <c r="J9" s="308">
        <f t="shared" si="1"/>
        <v>6.1492352919593242E-2</v>
      </c>
      <c r="K9" s="308">
        <f t="shared" si="2"/>
        <v>0.6</v>
      </c>
    </row>
    <row r="10" spans="1:11" ht="21">
      <c r="A10" s="1685" t="s">
        <v>585</v>
      </c>
      <c r="B10" s="10" t="s">
        <v>281</v>
      </c>
      <c r="C10" s="311">
        <f>'Packaging Raw Data File'!Y9</f>
        <v>1147.8116783783785</v>
      </c>
      <c r="D10" s="311">
        <f>'Packaging Raw Data File'!F56</f>
        <v>8013.6</v>
      </c>
      <c r="E10" s="311">
        <f>'Packaging Raw Data File'!E56</f>
        <v>12020.4</v>
      </c>
      <c r="F10" s="311"/>
      <c r="G10" s="311">
        <f>'Packaging Raw Data File'!R25</f>
        <v>3077.938212</v>
      </c>
      <c r="H10" s="307">
        <f t="shared" si="0"/>
        <v>24259.749890378378</v>
      </c>
      <c r="I10" s="313">
        <f>'Packaging Raw Data File'!O41</f>
        <v>300</v>
      </c>
      <c r="J10" s="308">
        <f>IFERROR(C10/H10,"")</f>
        <v>4.7313417638885483E-2</v>
      </c>
      <c r="K10" s="308">
        <f t="shared" si="2"/>
        <v>0.6</v>
      </c>
    </row>
    <row r="11" spans="1:11" ht="18">
      <c r="B11" s="10" t="s">
        <v>132</v>
      </c>
      <c r="C11" s="311">
        <f>'Packaging Raw Data File'!Y10</f>
        <v>1693.22596</v>
      </c>
      <c r="D11" s="311">
        <f>'Packaging Raw Data File'!F57</f>
        <v>9376.8000000000011</v>
      </c>
      <c r="E11" s="311">
        <f>'Packaging Raw Data File'!E57</f>
        <v>14065.199999999999</v>
      </c>
      <c r="F11" s="311"/>
      <c r="G11" s="311">
        <f>'Packaging Raw Data File'!R26</f>
        <v>3906.0262199999997</v>
      </c>
      <c r="H11" s="307">
        <f t="shared" si="0"/>
        <v>29041.252179999999</v>
      </c>
      <c r="I11" s="313">
        <f>'Packaging Raw Data File'!O42</f>
        <v>0</v>
      </c>
      <c r="J11" s="308">
        <f t="shared" si="1"/>
        <v>5.8304165037555901E-2</v>
      </c>
      <c r="K11" s="308">
        <f t="shared" si="2"/>
        <v>0.6</v>
      </c>
    </row>
    <row r="12" spans="1:11" ht="18">
      <c r="B12" s="10" t="s">
        <v>282</v>
      </c>
      <c r="C12" s="311">
        <f>'Packaging Raw Data File'!Y11</f>
        <v>1773.1687639999998</v>
      </c>
      <c r="D12" s="311">
        <f>'Packaging Raw Data File'!F58</f>
        <v>9112.8000000000011</v>
      </c>
      <c r="E12" s="311">
        <f>'Packaging Raw Data File'!E58</f>
        <v>13669.199999999999</v>
      </c>
      <c r="F12" s="311"/>
      <c r="G12" s="311">
        <f>'Packaging Raw Data File'!R27</f>
        <v>4376.8717280000001</v>
      </c>
      <c r="H12" s="307">
        <f t="shared" si="0"/>
        <v>28932.040492</v>
      </c>
      <c r="I12" s="313">
        <f>'Packaging Raw Data File'!O43</f>
        <v>309</v>
      </c>
      <c r="J12" s="308">
        <f t="shared" si="1"/>
        <v>6.1287373232119552E-2</v>
      </c>
      <c r="K12" s="308">
        <f t="shared" si="2"/>
        <v>0.6</v>
      </c>
    </row>
    <row r="13" spans="1:11" ht="18">
      <c r="B13" s="10" t="s">
        <v>283</v>
      </c>
      <c r="C13" s="311">
        <f>'Packaging Raw Data File'!Y12</f>
        <v>1665.8018509999999</v>
      </c>
      <c r="D13" s="311">
        <f>'Packaging Raw Data File'!F59</f>
        <v>8636.64</v>
      </c>
      <c r="E13" s="311">
        <f>'Packaging Raw Data File'!E59</f>
        <v>12954.96</v>
      </c>
      <c r="F13" s="311"/>
      <c r="G13" s="311">
        <f>'Packaging Raw Data File'!R28</f>
        <v>3486.350876</v>
      </c>
      <c r="H13" s="307">
        <f t="shared" si="0"/>
        <v>26743.752726999999</v>
      </c>
      <c r="I13" s="313">
        <f>'Packaging Raw Data File'!O44</f>
        <v>150</v>
      </c>
      <c r="J13" s="308">
        <f t="shared" si="1"/>
        <v>6.2287513199979494E-2</v>
      </c>
      <c r="K13" s="308">
        <f t="shared" si="2"/>
        <v>0.6</v>
      </c>
    </row>
    <row r="14" spans="1:11" ht="18">
      <c r="B14" s="10" t="s">
        <v>284</v>
      </c>
      <c r="C14" s="311">
        <f>'Packaging Raw Data File'!Y13</f>
        <v>2007.3223783783783</v>
      </c>
      <c r="D14" s="311">
        <f>'Packaging Raw Data File'!F60</f>
        <v>7739.52</v>
      </c>
      <c r="E14" s="311">
        <f>'Packaging Raw Data File'!E60</f>
        <v>11609.279999999999</v>
      </c>
      <c r="F14" s="311"/>
      <c r="G14" s="311">
        <f>'Packaging Raw Data File'!R29</f>
        <v>2866.3561600000003</v>
      </c>
      <c r="H14" s="307">
        <f t="shared" si="0"/>
        <v>24222.478538378378</v>
      </c>
      <c r="I14" s="313">
        <f>'Packaging Raw Data File'!O45</f>
        <v>900</v>
      </c>
      <c r="J14" s="308">
        <f t="shared" si="1"/>
        <v>8.2870230443096618E-2</v>
      </c>
      <c r="K14" s="308">
        <f t="shared" si="2"/>
        <v>0.6</v>
      </c>
    </row>
    <row r="15" spans="1:11" ht="18">
      <c r="B15" s="10" t="s">
        <v>285</v>
      </c>
      <c r="C15" s="311">
        <f>'Packaging Raw Data File'!Y14</f>
        <v>1502.304719</v>
      </c>
      <c r="D15" s="311">
        <f>'Packaging Raw Data File'!F61</f>
        <v>8855.0399999999991</v>
      </c>
      <c r="E15" s="311">
        <f>'Packaging Raw Data File'!E61</f>
        <v>13282.56</v>
      </c>
      <c r="F15" s="311"/>
      <c r="G15" s="311">
        <f>'Packaging Raw Data File'!R30</f>
        <v>3787.53712</v>
      </c>
      <c r="H15" s="307">
        <f t="shared" si="0"/>
        <v>27427.441838999999</v>
      </c>
      <c r="I15" s="313">
        <f>'Packaging Raw Data File'!O46</f>
        <v>1490</v>
      </c>
      <c r="J15" s="308">
        <f t="shared" si="1"/>
        <v>5.4773781959636593E-2</v>
      </c>
      <c r="K15" s="308">
        <f t="shared" si="2"/>
        <v>0.6</v>
      </c>
    </row>
    <row r="16" spans="1:11" ht="18">
      <c r="B16" s="10" t="s">
        <v>286</v>
      </c>
      <c r="C16" s="311">
        <f>'Packaging Raw Data File'!Y15</f>
        <v>1442.4123481081081</v>
      </c>
      <c r="D16" s="311">
        <f>'Packaging Raw Data File'!F62</f>
        <v>9542.880000000001</v>
      </c>
      <c r="E16" s="311">
        <f>'Packaging Raw Data File'!E62</f>
        <v>14314.32</v>
      </c>
      <c r="F16" s="311"/>
      <c r="G16" s="311">
        <f>'Packaging Raw Data File'!R31</f>
        <v>3216.7943960000002</v>
      </c>
      <c r="H16" s="307">
        <f t="shared" si="0"/>
        <v>28516.40674410811</v>
      </c>
      <c r="I16" s="313">
        <f>'Packaging Raw Data File'!O47</f>
        <v>1470</v>
      </c>
      <c r="J16" s="308">
        <f t="shared" si="1"/>
        <v>5.0581840869769849E-2</v>
      </c>
      <c r="K16" s="308">
        <f t="shared" si="2"/>
        <v>0.6</v>
      </c>
    </row>
    <row r="17" spans="1:11" ht="18">
      <c r="B17" s="10" t="s">
        <v>287</v>
      </c>
      <c r="C17" s="311">
        <f>'Packaging Raw Data File'!Y16</f>
        <v>1741.6000939999999</v>
      </c>
      <c r="D17" s="311">
        <f>'Packaging Raw Data File'!F63</f>
        <v>7925.7599999999993</v>
      </c>
      <c r="E17" s="311">
        <f>'Packaging Raw Data File'!E63</f>
        <v>11888.639999999998</v>
      </c>
      <c r="F17" s="311"/>
      <c r="G17" s="311">
        <f>'Packaging Raw Data File'!R32</f>
        <v>3701.4883519999998</v>
      </c>
      <c r="H17" s="307">
        <f t="shared" si="0"/>
        <v>25257.488445999996</v>
      </c>
      <c r="I17" s="313">
        <f>'Packaging Raw Data File'!O48</f>
        <v>0</v>
      </c>
      <c r="J17" s="308">
        <f t="shared" si="1"/>
        <v>6.8953811370576532E-2</v>
      </c>
      <c r="K17" s="308">
        <f t="shared" si="2"/>
        <v>0.6</v>
      </c>
    </row>
    <row r="18" spans="1:11" ht="18.75" thickBot="1">
      <c r="B18" s="10" t="s">
        <v>288</v>
      </c>
      <c r="C18" s="311">
        <f>'Packaging Raw Data File'!Y17</f>
        <v>1585.7891999999999</v>
      </c>
      <c r="D18" s="311">
        <f>'Packaging Raw Data File'!F64</f>
        <v>8144.8</v>
      </c>
      <c r="E18" s="311">
        <f>'Packaging Raw Data File'!E64</f>
        <v>12217.199999999999</v>
      </c>
      <c r="F18" s="311"/>
      <c r="G18" s="311">
        <f>'Packaging Raw Data File'!R33</f>
        <v>3545.2142359999998</v>
      </c>
      <c r="H18" s="307">
        <f t="shared" si="0"/>
        <v>25493.003435999999</v>
      </c>
      <c r="I18" s="313">
        <f>'Packaging Raw Data File'!O49</f>
        <v>720</v>
      </c>
      <c r="J18" s="309">
        <f t="shared" si="1"/>
        <v>6.2204879232104299E-2</v>
      </c>
      <c r="K18" s="309">
        <f t="shared" si="2"/>
        <v>0.6</v>
      </c>
    </row>
    <row r="19" spans="1:11" ht="18.75" thickBot="1">
      <c r="B19" s="10" t="s">
        <v>334</v>
      </c>
      <c r="C19" s="79">
        <f>IF(SUM(C7:C18)=0,"",SUM(C7:C18))</f>
        <v>18354.955654945945</v>
      </c>
      <c r="D19" s="79">
        <f t="shared" ref="D19:E19" si="3">IF(SUM(D7:D18)=0,"",SUM(D7:D18))</f>
        <v>101908</v>
      </c>
      <c r="E19" s="79">
        <f t="shared" si="3"/>
        <v>152862</v>
      </c>
      <c r="F19" s="79"/>
      <c r="G19" s="79">
        <f t="shared" ref="G19" si="4">IF(SUM(G7:G18)=0,"",SUM(G7:G18))</f>
        <v>42027.198747999995</v>
      </c>
      <c r="H19" s="79">
        <f t="shared" ref="H19" si="5">IF(SUM(H7:H18)=0,"",SUM(H7:H18))</f>
        <v>315152.15440294589</v>
      </c>
      <c r="I19" s="79">
        <f>IF(SUM(I7:I18)=0,"",SUM(I7:I18))</f>
        <v>5729</v>
      </c>
      <c r="J19" s="85">
        <f t="shared" si="1"/>
        <v>5.8241568075964173E-2</v>
      </c>
      <c r="K19" s="85">
        <f>IFERROR(E19/(D19+E19),"")</f>
        <v>0.6</v>
      </c>
    </row>
    <row r="20" spans="1:11" ht="18.75" thickBot="1">
      <c r="B20" s="109" t="s">
        <v>335</v>
      </c>
      <c r="C20" s="84">
        <f>IFERROR(AVERAGE(C7:C18),"")</f>
        <v>1529.5796379121621</v>
      </c>
      <c r="D20" s="84">
        <f t="shared" ref="D20:E20" si="6">IFERROR(AVERAGE(D7:D18),"")</f>
        <v>8492.3333333333339</v>
      </c>
      <c r="E20" s="84">
        <f t="shared" si="6"/>
        <v>12738.5</v>
      </c>
      <c r="F20" s="84"/>
      <c r="G20" s="84">
        <f t="shared" ref="G20" si="7">IFERROR(AVERAGE(G7:G18),"")</f>
        <v>3502.2665623333328</v>
      </c>
      <c r="H20" s="84">
        <f t="shared" ref="H20:I20" si="8">IFERROR(AVERAGE(H7:H18),"")</f>
        <v>26262.679533578823</v>
      </c>
      <c r="I20" s="84">
        <f t="shared" si="8"/>
        <v>477.41666666666669</v>
      </c>
      <c r="J20" s="81"/>
      <c r="K20" s="82"/>
    </row>
    <row r="21" spans="1:11">
      <c r="C21" s="83"/>
      <c r="D21" s="83"/>
      <c r="E21" s="83"/>
      <c r="F21" s="83"/>
      <c r="G21" s="83"/>
      <c r="H21" s="83"/>
      <c r="I21" s="83"/>
      <c r="J21" s="83"/>
      <c r="K21" s="83"/>
    </row>
    <row r="28" spans="1:11">
      <c r="A28" s="1933">
        <v>2024</v>
      </c>
    </row>
    <row r="29" spans="1:11">
      <c r="A29" s="1933"/>
    </row>
    <row r="31" spans="1:11" ht="21">
      <c r="A31" s="1685" t="s">
        <v>584</v>
      </c>
    </row>
    <row r="32" spans="1:11" ht="21.75" thickBot="1">
      <c r="A32" s="1685" t="s">
        <v>585</v>
      </c>
    </row>
    <row r="33" spans="2:13" ht="21.75" thickBot="1">
      <c r="B33" s="1967" t="s">
        <v>575</v>
      </c>
      <c r="C33" s="2039"/>
      <c r="D33" s="2039"/>
      <c r="E33" s="2039"/>
      <c r="F33" s="1968"/>
      <c r="G33" s="1968"/>
      <c r="H33" s="1968"/>
      <c r="I33" s="1968"/>
      <c r="J33" s="1968"/>
      <c r="K33" s="1968"/>
      <c r="L33" s="1968"/>
      <c r="M33" s="1969"/>
    </row>
    <row r="34" spans="2:13" ht="18.75" thickBot="1">
      <c r="B34" s="1997" t="s">
        <v>121</v>
      </c>
      <c r="C34" s="2014" t="s">
        <v>586</v>
      </c>
      <c r="D34" s="2040"/>
      <c r="E34" s="2015"/>
      <c r="F34" s="1997" t="s">
        <v>587</v>
      </c>
      <c r="G34" s="1997" t="s">
        <v>576</v>
      </c>
      <c r="H34" s="1997" t="s">
        <v>577</v>
      </c>
      <c r="I34" s="1997" t="s">
        <v>588</v>
      </c>
      <c r="J34" s="1997" t="s">
        <v>580</v>
      </c>
      <c r="K34" s="1997" t="s">
        <v>581</v>
      </c>
      <c r="L34" s="1997" t="s">
        <v>582</v>
      </c>
      <c r="M34" s="1997" t="s">
        <v>589</v>
      </c>
    </row>
    <row r="35" spans="2:13" ht="18.75" thickBot="1">
      <c r="B35" s="1998"/>
      <c r="C35" s="70" t="s">
        <v>590</v>
      </c>
      <c r="D35" s="70" t="s">
        <v>591</v>
      </c>
      <c r="E35" s="70" t="s">
        <v>588</v>
      </c>
      <c r="F35" s="1998"/>
      <c r="G35" s="1998"/>
      <c r="H35" s="1998"/>
      <c r="I35" s="1998"/>
      <c r="J35" s="1998"/>
      <c r="K35" s="1998"/>
      <c r="L35" s="1998"/>
      <c r="M35" s="1998"/>
    </row>
    <row r="36" spans="2:13" ht="18">
      <c r="B36" s="108" t="s">
        <v>278</v>
      </c>
      <c r="C36" s="1717"/>
      <c r="D36" s="1717"/>
      <c r="E36" s="1717">
        <f>'Packaging Raw Data File'!Y73</f>
        <v>1570.3293314324324</v>
      </c>
      <c r="F36" s="1718">
        <f>IF(SUM(C36:E36)=0,"",SUM(C36:E36))</f>
        <v>1570.3293314324324</v>
      </c>
      <c r="G36" s="310">
        <f>'Packaging Raw Data File'!F120</f>
        <v>7793.7599999999993</v>
      </c>
      <c r="H36" s="1717">
        <f>'Packaging Raw Data File'!E120</f>
        <v>11690.639999999998</v>
      </c>
      <c r="I36" s="1717">
        <f>'Packaging Raw Data File'!R89</f>
        <v>3717.404016</v>
      </c>
      <c r="J36" s="1718">
        <f>IF(SUM(F36:I36)=0,"",SUM(F36:I36))</f>
        <v>24772.133347432427</v>
      </c>
      <c r="K36" s="1719">
        <f>'Packaging Raw Data File'!O105</f>
        <v>1000</v>
      </c>
      <c r="L36" s="1720">
        <f>IFERROR(F36/J36,"")</f>
        <v>6.3390960697989024E-2</v>
      </c>
      <c r="M36" s="1720">
        <f>IFERROR(H36/(G36+H36),"")</f>
        <v>0.6</v>
      </c>
    </row>
    <row r="37" spans="2:13" ht="18">
      <c r="B37" s="10" t="s">
        <v>279</v>
      </c>
      <c r="C37" s="1721"/>
      <c r="D37" s="1721"/>
      <c r="E37" s="1721">
        <f>'Packaging Raw Data File'!Y74</f>
        <v>0</v>
      </c>
      <c r="F37" s="307" t="str">
        <f t="shared" ref="F37:F47" si="9">IF(SUM(C37:E37)=0,"",SUM(C37:E37))</f>
        <v/>
      </c>
      <c r="G37" s="311">
        <f>'Packaging Raw Data File'!F121</f>
        <v>0</v>
      </c>
      <c r="H37" s="311">
        <f>'Packaging Raw Data File'!E121</f>
        <v>0</v>
      </c>
      <c r="I37" s="311">
        <f>'Packaging Raw Data File'!R90</f>
        <v>0</v>
      </c>
      <c r="J37" s="307" t="str">
        <f t="shared" ref="J37:J47" si="10">IF(SUM(F37:I37)=0,"",SUM(F37:I37))</f>
        <v/>
      </c>
      <c r="K37" s="1722">
        <f>'Packaging Raw Data File'!O106</f>
        <v>0</v>
      </c>
      <c r="L37" s="308" t="str">
        <f t="shared" ref="L37:L48" si="11">IFERROR(F37/J37,"")</f>
        <v/>
      </c>
      <c r="M37" s="308" t="str">
        <f t="shared" ref="M37:M47" si="12">IFERROR(H37/(G37+H37),"")</f>
        <v/>
      </c>
    </row>
    <row r="38" spans="2:13" ht="18">
      <c r="B38" s="10" t="s">
        <v>280</v>
      </c>
      <c r="C38" s="311"/>
      <c r="D38" s="311"/>
      <c r="E38" s="1721">
        <f>'Packaging Raw Data File'!Y75</f>
        <v>0</v>
      </c>
      <c r="F38" s="307" t="str">
        <f t="shared" si="9"/>
        <v/>
      </c>
      <c r="G38" s="311">
        <f>'Packaging Raw Data File'!F122</f>
        <v>0</v>
      </c>
      <c r="H38" s="311">
        <f>'Packaging Raw Data File'!E122</f>
        <v>0</v>
      </c>
      <c r="I38" s="311">
        <f>'Packaging Raw Data File'!R91</f>
        <v>0</v>
      </c>
      <c r="J38" s="307" t="str">
        <f t="shared" si="10"/>
        <v/>
      </c>
      <c r="K38" s="1722">
        <f>'Packaging Raw Data File'!O107</f>
        <v>0</v>
      </c>
      <c r="L38" s="308" t="str">
        <f t="shared" si="11"/>
        <v/>
      </c>
      <c r="M38" s="308" t="str">
        <f t="shared" si="12"/>
        <v/>
      </c>
    </row>
    <row r="39" spans="2:13" ht="18">
      <c r="B39" s="10" t="s">
        <v>281</v>
      </c>
      <c r="C39" s="311"/>
      <c r="D39" s="311"/>
      <c r="E39" s="1721">
        <f>'Packaging Raw Data File'!Y76</f>
        <v>0</v>
      </c>
      <c r="F39" s="307" t="str">
        <f t="shared" si="9"/>
        <v/>
      </c>
      <c r="G39" s="311">
        <f>'Packaging Raw Data File'!F123</f>
        <v>0</v>
      </c>
      <c r="H39" s="311">
        <f>'Packaging Raw Data File'!E123</f>
        <v>0</v>
      </c>
      <c r="I39" s="311">
        <f>'Packaging Raw Data File'!R92</f>
        <v>0</v>
      </c>
      <c r="J39" s="307" t="str">
        <f t="shared" si="10"/>
        <v/>
      </c>
      <c r="K39" s="1722">
        <f>'Packaging Raw Data File'!O108</f>
        <v>0</v>
      </c>
      <c r="L39" s="308" t="str">
        <f t="shared" si="11"/>
        <v/>
      </c>
      <c r="M39" s="308" t="str">
        <f t="shared" si="12"/>
        <v/>
      </c>
    </row>
    <row r="40" spans="2:13" ht="18">
      <c r="B40" s="10" t="s">
        <v>132</v>
      </c>
      <c r="C40" s="311"/>
      <c r="D40" s="311"/>
      <c r="E40" s="1721">
        <f>'Packaging Raw Data File'!Y77</f>
        <v>0</v>
      </c>
      <c r="F40" s="307" t="str">
        <f t="shared" si="9"/>
        <v/>
      </c>
      <c r="G40" s="311">
        <f>'Packaging Raw Data File'!F124</f>
        <v>0</v>
      </c>
      <c r="H40" s="311">
        <f>'Packaging Raw Data File'!E124</f>
        <v>0</v>
      </c>
      <c r="I40" s="311">
        <f>'Packaging Raw Data File'!R93</f>
        <v>0</v>
      </c>
      <c r="J40" s="307" t="str">
        <f t="shared" si="10"/>
        <v/>
      </c>
      <c r="K40" s="1722">
        <f>'Packaging Raw Data File'!O109</f>
        <v>0</v>
      </c>
      <c r="L40" s="308" t="str">
        <f t="shared" si="11"/>
        <v/>
      </c>
      <c r="M40" s="308" t="str">
        <f t="shared" si="12"/>
        <v/>
      </c>
    </row>
    <row r="41" spans="2:13" ht="18">
      <c r="B41" s="10" t="s">
        <v>282</v>
      </c>
      <c r="C41" s="311"/>
      <c r="D41" s="311"/>
      <c r="E41" s="1721">
        <f>'Packaging Raw Data File'!Y78</f>
        <v>0</v>
      </c>
      <c r="F41" s="307" t="str">
        <f t="shared" si="9"/>
        <v/>
      </c>
      <c r="G41" s="311">
        <f>'Packaging Raw Data File'!F125</f>
        <v>0</v>
      </c>
      <c r="H41" s="311">
        <f>'Packaging Raw Data File'!E125</f>
        <v>0</v>
      </c>
      <c r="I41" s="311">
        <f>'Packaging Raw Data File'!R94</f>
        <v>0</v>
      </c>
      <c r="J41" s="307" t="str">
        <f t="shared" si="10"/>
        <v/>
      </c>
      <c r="K41" s="1722">
        <f>'Packaging Raw Data File'!O110</f>
        <v>0</v>
      </c>
      <c r="L41" s="308" t="str">
        <f t="shared" si="11"/>
        <v/>
      </c>
      <c r="M41" s="308" t="str">
        <f t="shared" si="12"/>
        <v/>
      </c>
    </row>
    <row r="42" spans="2:13" ht="18">
      <c r="B42" s="10" t="s">
        <v>283</v>
      </c>
      <c r="C42" s="311"/>
      <c r="D42" s="311"/>
      <c r="E42" s="1721">
        <f>'Packaging Raw Data File'!Y79</f>
        <v>0</v>
      </c>
      <c r="F42" s="307" t="str">
        <f t="shared" si="9"/>
        <v/>
      </c>
      <c r="G42" s="311">
        <f>'Packaging Raw Data File'!F126</f>
        <v>0</v>
      </c>
      <c r="H42" s="311">
        <f>'Packaging Raw Data File'!E126</f>
        <v>0</v>
      </c>
      <c r="I42" s="311">
        <f>'Packaging Raw Data File'!R95</f>
        <v>0</v>
      </c>
      <c r="J42" s="307" t="str">
        <f t="shared" si="10"/>
        <v/>
      </c>
      <c r="K42" s="1722">
        <f>'Packaging Raw Data File'!O111</f>
        <v>0</v>
      </c>
      <c r="L42" s="308" t="str">
        <f t="shared" si="11"/>
        <v/>
      </c>
      <c r="M42" s="308" t="str">
        <f t="shared" si="12"/>
        <v/>
      </c>
    </row>
    <row r="43" spans="2:13" ht="18">
      <c r="B43" s="10" t="s">
        <v>284</v>
      </c>
      <c r="C43" s="311"/>
      <c r="D43" s="311"/>
      <c r="E43" s="1721">
        <f>'Packaging Raw Data File'!Y80</f>
        <v>0</v>
      </c>
      <c r="F43" s="307" t="str">
        <f t="shared" si="9"/>
        <v/>
      </c>
      <c r="G43" s="311">
        <f>'Packaging Raw Data File'!F127</f>
        <v>0</v>
      </c>
      <c r="H43" s="311">
        <f>'Packaging Raw Data File'!E127</f>
        <v>0</v>
      </c>
      <c r="I43" s="311">
        <f>'Packaging Raw Data File'!R96</f>
        <v>0</v>
      </c>
      <c r="J43" s="307" t="str">
        <f t="shared" si="10"/>
        <v/>
      </c>
      <c r="K43" s="1722">
        <f>'Packaging Raw Data File'!O112</f>
        <v>0</v>
      </c>
      <c r="L43" s="308" t="str">
        <f t="shared" si="11"/>
        <v/>
      </c>
      <c r="M43" s="308" t="str">
        <f t="shared" si="12"/>
        <v/>
      </c>
    </row>
    <row r="44" spans="2:13" ht="18">
      <c r="B44" s="10" t="s">
        <v>285</v>
      </c>
      <c r="C44" s="311"/>
      <c r="D44" s="311"/>
      <c r="E44" s="1721">
        <f>'Packaging Raw Data File'!Y81</f>
        <v>0</v>
      </c>
      <c r="F44" s="307" t="str">
        <f t="shared" si="9"/>
        <v/>
      </c>
      <c r="G44" s="311">
        <f>'Packaging Raw Data File'!F128</f>
        <v>0</v>
      </c>
      <c r="H44" s="311">
        <f>'Packaging Raw Data File'!E128</f>
        <v>0</v>
      </c>
      <c r="I44" s="311">
        <f>'Packaging Raw Data File'!R97</f>
        <v>0</v>
      </c>
      <c r="J44" s="307" t="str">
        <f t="shared" si="10"/>
        <v/>
      </c>
      <c r="K44" s="1722">
        <f>'Packaging Raw Data File'!O113</f>
        <v>0</v>
      </c>
      <c r="L44" s="308" t="str">
        <f t="shared" si="11"/>
        <v/>
      </c>
      <c r="M44" s="308" t="str">
        <f t="shared" si="12"/>
        <v/>
      </c>
    </row>
    <row r="45" spans="2:13" ht="18">
      <c r="B45" s="10" t="s">
        <v>286</v>
      </c>
      <c r="C45" s="311"/>
      <c r="D45" s="311"/>
      <c r="E45" s="1721">
        <f>'Packaging Raw Data File'!Y82</f>
        <v>0</v>
      </c>
      <c r="F45" s="307" t="str">
        <f t="shared" si="9"/>
        <v/>
      </c>
      <c r="G45" s="311">
        <f>'Packaging Raw Data File'!F129</f>
        <v>0</v>
      </c>
      <c r="H45" s="311">
        <f>'Packaging Raw Data File'!E129</f>
        <v>0</v>
      </c>
      <c r="I45" s="311">
        <f>'Packaging Raw Data File'!R98</f>
        <v>0</v>
      </c>
      <c r="J45" s="307" t="str">
        <f t="shared" si="10"/>
        <v/>
      </c>
      <c r="K45" s="1722">
        <f>'Packaging Raw Data File'!O114</f>
        <v>0</v>
      </c>
      <c r="L45" s="308" t="str">
        <f t="shared" si="11"/>
        <v/>
      </c>
      <c r="M45" s="308" t="str">
        <f t="shared" si="12"/>
        <v/>
      </c>
    </row>
    <row r="46" spans="2:13" ht="18">
      <c r="B46" s="10" t="s">
        <v>287</v>
      </c>
      <c r="C46" s="311"/>
      <c r="D46" s="311"/>
      <c r="E46" s="1721">
        <f>'Packaging Raw Data File'!Y83</f>
        <v>0</v>
      </c>
      <c r="F46" s="307" t="str">
        <f t="shared" si="9"/>
        <v/>
      </c>
      <c r="G46" s="311">
        <f>'Packaging Raw Data File'!F130</f>
        <v>0</v>
      </c>
      <c r="H46" s="311">
        <f>'Packaging Raw Data File'!E130</f>
        <v>0</v>
      </c>
      <c r="I46" s="311">
        <f>'Packaging Raw Data File'!R99</f>
        <v>0</v>
      </c>
      <c r="J46" s="307" t="str">
        <f t="shared" si="10"/>
        <v/>
      </c>
      <c r="K46" s="1722">
        <f>'Packaging Raw Data File'!O115</f>
        <v>0</v>
      </c>
      <c r="L46" s="308" t="str">
        <f t="shared" si="11"/>
        <v/>
      </c>
      <c r="M46" s="308" t="str">
        <f t="shared" si="12"/>
        <v/>
      </c>
    </row>
    <row r="47" spans="2:13" ht="18.75" thickBot="1">
      <c r="B47" s="11" t="s">
        <v>288</v>
      </c>
      <c r="C47" s="311"/>
      <c r="D47" s="311"/>
      <c r="E47" s="1721">
        <f>'Packaging Raw Data File'!Y84</f>
        <v>0</v>
      </c>
      <c r="F47" s="307" t="str">
        <f t="shared" si="9"/>
        <v/>
      </c>
      <c r="G47" s="311">
        <f>'Packaging Raw Data File'!F131</f>
        <v>0</v>
      </c>
      <c r="H47" s="311">
        <f>'Packaging Raw Data File'!E131</f>
        <v>0</v>
      </c>
      <c r="I47" s="311">
        <f>'Packaging Raw Data File'!R100</f>
        <v>0</v>
      </c>
      <c r="J47" s="307" t="str">
        <f t="shared" si="10"/>
        <v/>
      </c>
      <c r="K47" s="1722">
        <f>'Packaging Raw Data File'!O116</f>
        <v>0</v>
      </c>
      <c r="L47" s="309" t="str">
        <f t="shared" si="11"/>
        <v/>
      </c>
      <c r="M47" s="309" t="str">
        <f t="shared" si="12"/>
        <v/>
      </c>
    </row>
    <row r="48" spans="2:13" ht="18.75" thickBot="1">
      <c r="B48" s="1723" t="s">
        <v>334</v>
      </c>
      <c r="C48" s="79" t="str">
        <f t="shared" ref="C48:D48" si="13">IF(SUM(C36:C47)=0,"",SUM(C36:C47))</f>
        <v/>
      </c>
      <c r="D48" s="79" t="str">
        <f t="shared" si="13"/>
        <v/>
      </c>
      <c r="E48" s="79">
        <f>IF(SUM(E36:E47)=0,"",SUM(E36:E47))</f>
        <v>1570.3293314324324</v>
      </c>
      <c r="F48" s="79">
        <f t="shared" ref="F48" si="14">IF(SUM(F36:F47)=0,"",SUM(F36:F47))</f>
        <v>1570.3293314324324</v>
      </c>
      <c r="G48" s="79">
        <f>IF(SUM(G36:G47)=0,"",SUM(G36:G47))</f>
        <v>7793.7599999999993</v>
      </c>
      <c r="H48" s="79">
        <f t="shared" ref="H48:J48" si="15">IF(SUM(H36:H47)=0,"",SUM(H36:H47))</f>
        <v>11690.639999999998</v>
      </c>
      <c r="I48" s="79">
        <f t="shared" si="15"/>
        <v>3717.404016</v>
      </c>
      <c r="J48" s="79">
        <f t="shared" si="15"/>
        <v>24772.133347432427</v>
      </c>
      <c r="K48" s="79">
        <f>IF(SUM(K36:K47)=0,"",SUM(K36:K47))</f>
        <v>1000</v>
      </c>
      <c r="L48" s="85">
        <f t="shared" si="11"/>
        <v>6.3390960697989024E-2</v>
      </c>
      <c r="M48" s="85">
        <f>IFERROR(H48/(G48+H48),"")</f>
        <v>0.6</v>
      </c>
    </row>
    <row r="49" spans="2:13" ht="18.75" thickBot="1">
      <c r="B49" s="12" t="s">
        <v>335</v>
      </c>
      <c r="C49" s="84" t="str">
        <f t="shared" ref="C49:K49" si="16">IFERROR(AVERAGE(C36:C47),"")</f>
        <v/>
      </c>
      <c r="D49" s="84" t="str">
        <f t="shared" si="16"/>
        <v/>
      </c>
      <c r="E49" s="84">
        <f t="shared" si="16"/>
        <v>130.86077761936937</v>
      </c>
      <c r="F49" s="84">
        <f t="shared" si="16"/>
        <v>1570.3293314324324</v>
      </c>
      <c r="G49" s="84">
        <f t="shared" si="16"/>
        <v>649.4799999999999</v>
      </c>
      <c r="H49" s="84">
        <f t="shared" si="16"/>
        <v>974.2199999999998</v>
      </c>
      <c r="I49" s="84">
        <f t="shared" si="16"/>
        <v>309.78366799999998</v>
      </c>
      <c r="J49" s="84">
        <f t="shared" si="16"/>
        <v>24772.133347432427</v>
      </c>
      <c r="K49" s="84">
        <f t="shared" si="16"/>
        <v>83.333333333333329</v>
      </c>
      <c r="L49" s="81"/>
      <c r="M49" s="82"/>
    </row>
    <row r="50" spans="2:13">
      <c r="F50" s="83"/>
      <c r="G50" s="83"/>
      <c r="H50" s="83"/>
      <c r="I50" s="83"/>
      <c r="J50" s="83"/>
      <c r="K50" s="83"/>
      <c r="L50" s="83"/>
      <c r="M50" s="83"/>
    </row>
    <row r="51" spans="2:13">
      <c r="F51" s="41" t="s">
        <v>221</v>
      </c>
    </row>
    <row r="52" spans="2:13">
      <c r="F52" s="41" t="s">
        <v>576</v>
      </c>
    </row>
    <row r="53" spans="2:13">
      <c r="F53" s="41" t="s">
        <v>577</v>
      </c>
    </row>
    <row r="54" spans="2:13">
      <c r="F54" s="41" t="s">
        <v>467</v>
      </c>
    </row>
    <row r="55" spans="2:13">
      <c r="F55" s="41" t="s">
        <v>580</v>
      </c>
    </row>
    <row r="56" spans="2:13">
      <c r="F56" s="41" t="s">
        <v>581</v>
      </c>
    </row>
    <row r="57" spans="2:13">
      <c r="F57" s="41" t="s">
        <v>582</v>
      </c>
    </row>
    <row r="58" spans="2:13">
      <c r="F58" s="41" t="s">
        <v>583</v>
      </c>
    </row>
  </sheetData>
  <mergeCells count="14">
    <mergeCell ref="B5:K5"/>
    <mergeCell ref="A6:A7"/>
    <mergeCell ref="A28:A29"/>
    <mergeCell ref="B33:M33"/>
    <mergeCell ref="B34:B35"/>
    <mergeCell ref="C34:E34"/>
    <mergeCell ref="F34:F35"/>
    <mergeCell ref="G34:G35"/>
    <mergeCell ref="H34:H35"/>
    <mergeCell ref="I34:I35"/>
    <mergeCell ref="J34:J35"/>
    <mergeCell ref="K34:K35"/>
    <mergeCell ref="L34:L35"/>
    <mergeCell ref="M34:M35"/>
  </mergeCell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D2D55-C016-4709-BEF1-7A3E3FFC6DC8}">
  <dimension ref="A1:R57"/>
  <sheetViews>
    <sheetView showGridLines="0" zoomScale="85" zoomScaleNormal="85" workbookViewId="0">
      <pane xSplit="1" ySplit="3" topLeftCell="B4" activePane="bottomRight" state="frozen"/>
      <selection pane="topRight" activeCell="B1" sqref="B1"/>
      <selection pane="bottomLeft" activeCell="A4" sqref="A4"/>
      <selection pane="bottomRight"/>
    </sheetView>
  </sheetViews>
  <sheetFormatPr defaultColWidth="9.140625" defaultRowHeight="16.5"/>
  <cols>
    <col min="1" max="1" width="34.7109375" style="41" customWidth="1"/>
    <col min="2" max="2" width="10.140625" style="41" customWidth="1"/>
    <col min="3" max="3" width="20.7109375" style="41" bestFit="1" customWidth="1"/>
    <col min="4" max="4" width="38.7109375" style="41" bestFit="1" customWidth="1"/>
    <col min="5" max="5" width="15.42578125" style="41" bestFit="1" customWidth="1"/>
    <col min="6" max="6" width="14" style="41" bestFit="1" customWidth="1"/>
    <col min="7" max="7" width="14.5703125" style="41" customWidth="1"/>
    <col min="8" max="8" width="35.85546875" style="41" customWidth="1"/>
    <col min="9" max="9" width="18.28515625" style="41" customWidth="1"/>
    <col min="10" max="10" width="22.5703125" style="41" bestFit="1" customWidth="1"/>
    <col min="11" max="11" width="23.140625" style="41" bestFit="1" customWidth="1"/>
    <col min="12" max="12" width="9.42578125" style="41" bestFit="1" customWidth="1"/>
    <col min="13" max="13" width="10" style="41" bestFit="1" customWidth="1"/>
    <col min="14" max="17" width="20.140625" style="41" bestFit="1" customWidth="1"/>
    <col min="18" max="18" width="25" style="41" bestFit="1" customWidth="1"/>
    <col min="19" max="16384" width="9.140625" style="41"/>
  </cols>
  <sheetData>
    <row r="1" spans="1:18" ht="35.25" customHeight="1"/>
    <row r="2" spans="1:18" ht="35.25" customHeight="1"/>
    <row r="3" spans="1:18" ht="35.25" customHeight="1"/>
    <row r="4" spans="1:18" ht="37.5" customHeight="1"/>
    <row r="5" spans="1:18" ht="18">
      <c r="A5" s="1933">
        <v>2023</v>
      </c>
      <c r="C5" s="315" t="s">
        <v>592</v>
      </c>
      <c r="D5" s="315" t="s">
        <v>593</v>
      </c>
    </row>
    <row r="6" spans="1:18" ht="18">
      <c r="A6" s="1933"/>
      <c r="C6" s="314"/>
      <c r="D6" s="314" t="s">
        <v>594</v>
      </c>
    </row>
    <row r="7" spans="1:18" ht="17.25" thickBot="1"/>
    <row r="8" spans="1:18" ht="21.75" thickBot="1">
      <c r="B8" s="2041" t="s">
        <v>595</v>
      </c>
      <c r="C8" s="2042"/>
      <c r="D8" s="2042"/>
      <c r="E8" s="2042"/>
      <c r="F8" s="2042"/>
      <c r="G8" s="2042"/>
      <c r="H8" s="2042"/>
      <c r="I8" s="2042"/>
      <c r="J8" s="2042"/>
      <c r="K8" s="2042"/>
      <c r="L8" s="2042"/>
      <c r="M8" s="2042"/>
      <c r="N8" s="2042"/>
      <c r="O8" s="2042"/>
      <c r="P8" s="2042"/>
      <c r="Q8" s="2042"/>
      <c r="R8" s="2043"/>
    </row>
    <row r="9" spans="1:18" ht="18.75" thickBot="1">
      <c r="A9" s="880" t="s">
        <v>338</v>
      </c>
      <c r="B9" s="261" t="s">
        <v>7</v>
      </c>
      <c r="C9" s="262" t="s">
        <v>596</v>
      </c>
      <c r="D9" s="262" t="s">
        <v>597</v>
      </c>
      <c r="E9" s="262" t="s">
        <v>598</v>
      </c>
      <c r="F9" s="262" t="s">
        <v>599</v>
      </c>
      <c r="G9" s="262" t="s">
        <v>600</v>
      </c>
      <c r="H9" s="262" t="s">
        <v>601</v>
      </c>
      <c r="I9" s="262" t="s">
        <v>602</v>
      </c>
      <c r="J9" s="262" t="s">
        <v>603</v>
      </c>
      <c r="K9" s="262" t="s">
        <v>604</v>
      </c>
      <c r="L9" s="262" t="s">
        <v>605</v>
      </c>
      <c r="M9" s="262" t="s">
        <v>606</v>
      </c>
      <c r="N9" s="262" t="s">
        <v>607</v>
      </c>
      <c r="O9" s="262" t="s">
        <v>608</v>
      </c>
      <c r="P9" s="262" t="s">
        <v>609</v>
      </c>
      <c r="Q9" s="262" t="s">
        <v>610</v>
      </c>
      <c r="R9" s="263" t="s">
        <v>611</v>
      </c>
    </row>
    <row r="10" spans="1:18" ht="16.5" customHeight="1">
      <c r="A10" s="882" t="s">
        <v>612</v>
      </c>
      <c r="B10" s="316"/>
      <c r="C10" s="112"/>
      <c r="D10" s="112"/>
      <c r="E10" s="112"/>
      <c r="F10" s="112"/>
      <c r="G10" s="112"/>
      <c r="H10" s="112"/>
      <c r="I10" s="112"/>
      <c r="J10" s="112"/>
      <c r="K10" s="112"/>
      <c r="L10" s="112"/>
      <c r="M10" s="112"/>
      <c r="N10" s="112"/>
      <c r="O10" s="112"/>
      <c r="P10" s="112"/>
      <c r="Q10" s="113"/>
      <c r="R10" s="317"/>
    </row>
    <row r="11" spans="1:18">
      <c r="A11" t="s">
        <v>81</v>
      </c>
      <c r="B11" s="318"/>
      <c r="C11" s="110"/>
      <c r="D11" s="110"/>
      <c r="E11" s="110"/>
      <c r="F11" s="110"/>
      <c r="G11" s="110"/>
      <c r="H11" s="110"/>
      <c r="I11" s="110"/>
      <c r="J11" s="110"/>
      <c r="K11" s="110"/>
      <c r="L11" s="110"/>
      <c r="M11" s="110"/>
      <c r="N11" s="110"/>
      <c r="O11" s="110"/>
      <c r="P11" s="110"/>
      <c r="Q11" s="111"/>
      <c r="R11" s="319"/>
    </row>
    <row r="12" spans="1:18">
      <c r="B12" s="318"/>
      <c r="C12" s="110"/>
      <c r="D12" s="110"/>
      <c r="E12" s="110"/>
      <c r="F12" s="110"/>
      <c r="G12" s="110"/>
      <c r="H12" s="110"/>
      <c r="I12" s="110"/>
      <c r="J12" s="110"/>
      <c r="K12" s="110"/>
      <c r="L12" s="110"/>
      <c r="M12" s="110"/>
      <c r="N12" s="110"/>
      <c r="O12" s="110"/>
      <c r="P12" s="110"/>
      <c r="Q12" s="111"/>
      <c r="R12" s="319"/>
    </row>
    <row r="13" spans="1:18">
      <c r="B13" s="318"/>
      <c r="C13" s="110"/>
      <c r="D13" s="110"/>
      <c r="E13" s="110"/>
      <c r="F13" s="110"/>
      <c r="G13" s="110"/>
      <c r="H13" s="110"/>
      <c r="I13" s="110"/>
      <c r="J13" s="110"/>
      <c r="K13" s="110"/>
      <c r="L13" s="110"/>
      <c r="M13" s="110"/>
      <c r="N13" s="110"/>
      <c r="O13" s="110"/>
      <c r="P13" s="110"/>
      <c r="Q13" s="111"/>
      <c r="R13" s="319"/>
    </row>
    <row r="14" spans="1:18">
      <c r="B14" s="318"/>
      <c r="C14" s="110"/>
      <c r="D14" s="110"/>
      <c r="E14" s="110"/>
      <c r="F14" s="110"/>
      <c r="G14" s="110"/>
      <c r="H14" s="110"/>
      <c r="I14" s="110"/>
      <c r="J14" s="110"/>
      <c r="K14" s="110"/>
      <c r="L14" s="110"/>
      <c r="M14" s="110"/>
      <c r="N14" s="110"/>
      <c r="O14" s="110"/>
      <c r="P14" s="110"/>
      <c r="Q14" s="111"/>
      <c r="R14" s="319"/>
    </row>
    <row r="15" spans="1:18">
      <c r="B15" s="318"/>
      <c r="C15" s="110"/>
      <c r="D15" s="110"/>
      <c r="E15" s="110"/>
      <c r="F15" s="110"/>
      <c r="G15" s="110"/>
      <c r="H15" s="110"/>
      <c r="I15" s="110"/>
      <c r="J15" s="110"/>
      <c r="K15" s="110"/>
      <c r="L15" s="110"/>
      <c r="M15" s="110"/>
      <c r="N15" s="110"/>
      <c r="O15" s="110"/>
      <c r="P15" s="110"/>
      <c r="Q15" s="111"/>
      <c r="R15" s="319"/>
    </row>
    <row r="16" spans="1:18">
      <c r="B16" s="318"/>
      <c r="C16" s="110"/>
      <c r="D16" s="110"/>
      <c r="E16" s="110"/>
      <c r="F16" s="110"/>
      <c r="G16" s="110"/>
      <c r="H16" s="110"/>
      <c r="I16" s="110"/>
      <c r="J16" s="110"/>
      <c r="K16" s="110"/>
      <c r="L16" s="110"/>
      <c r="M16" s="110"/>
      <c r="N16" s="110"/>
      <c r="O16" s="110"/>
      <c r="P16" s="110"/>
      <c r="Q16" s="111"/>
      <c r="R16" s="319"/>
    </row>
    <row r="17" spans="1:18">
      <c r="B17" s="318"/>
      <c r="C17" s="110"/>
      <c r="D17" s="110"/>
      <c r="E17" s="110"/>
      <c r="F17" s="110"/>
      <c r="G17" s="110"/>
      <c r="H17" s="110"/>
      <c r="I17" s="110"/>
      <c r="J17" s="110"/>
      <c r="K17" s="110"/>
      <c r="L17" s="110"/>
      <c r="M17" s="110"/>
      <c r="N17" s="110"/>
      <c r="O17" s="110"/>
      <c r="P17" s="110"/>
      <c r="Q17" s="111"/>
      <c r="R17" s="319"/>
    </row>
    <row r="18" spans="1:18">
      <c r="B18" s="318"/>
      <c r="C18" s="110"/>
      <c r="D18" s="110"/>
      <c r="E18" s="110"/>
      <c r="F18" s="110"/>
      <c r="G18" s="110"/>
      <c r="H18" s="110"/>
      <c r="I18" s="110"/>
      <c r="J18" s="110"/>
      <c r="K18" s="110"/>
      <c r="L18" s="110"/>
      <c r="M18" s="110"/>
      <c r="N18" s="110"/>
      <c r="O18" s="110"/>
      <c r="P18" s="110"/>
      <c r="Q18" s="111"/>
      <c r="R18" s="319"/>
    </row>
    <row r="19" spans="1:18">
      <c r="B19" s="318"/>
      <c r="C19" s="110"/>
      <c r="D19" s="110"/>
      <c r="E19" s="110"/>
      <c r="F19" s="110"/>
      <c r="G19" s="110"/>
      <c r="H19" s="110"/>
      <c r="I19" s="110"/>
      <c r="J19" s="110"/>
      <c r="K19" s="110"/>
      <c r="L19" s="110"/>
      <c r="M19" s="110"/>
      <c r="N19" s="110"/>
      <c r="O19" s="110"/>
      <c r="P19" s="110"/>
      <c r="Q19" s="111"/>
      <c r="R19" s="319"/>
    </row>
    <row r="20" spans="1:18">
      <c r="B20" s="318"/>
      <c r="C20" s="110"/>
      <c r="D20" s="110"/>
      <c r="E20" s="110"/>
      <c r="F20" s="110"/>
      <c r="G20" s="110"/>
      <c r="H20" s="110"/>
      <c r="I20" s="110"/>
      <c r="J20" s="110"/>
      <c r="K20" s="110"/>
      <c r="L20" s="110"/>
      <c r="M20" s="110"/>
      <c r="N20" s="110"/>
      <c r="O20" s="110"/>
      <c r="P20" s="110"/>
      <c r="Q20" s="111"/>
      <c r="R20" s="319"/>
    </row>
    <row r="21" spans="1:18">
      <c r="B21" s="318"/>
      <c r="C21" s="110"/>
      <c r="D21" s="110"/>
      <c r="E21" s="110"/>
      <c r="F21" s="110"/>
      <c r="G21" s="110"/>
      <c r="H21" s="110"/>
      <c r="I21" s="110"/>
      <c r="J21" s="110"/>
      <c r="K21" s="110"/>
      <c r="L21" s="110"/>
      <c r="M21" s="110"/>
      <c r="N21" s="110"/>
      <c r="O21" s="110"/>
      <c r="P21" s="110"/>
      <c r="Q21" s="111"/>
      <c r="R21" s="319"/>
    </row>
    <row r="22" spans="1:18">
      <c r="B22" s="318"/>
      <c r="C22" s="110"/>
      <c r="D22" s="110"/>
      <c r="E22" s="110"/>
      <c r="F22" s="110"/>
      <c r="G22" s="110"/>
      <c r="H22" s="110"/>
      <c r="I22" s="110"/>
      <c r="J22" s="110"/>
      <c r="K22" s="110"/>
      <c r="L22" s="110"/>
      <c r="M22" s="110"/>
      <c r="N22" s="110"/>
      <c r="O22" s="110"/>
      <c r="P22" s="110"/>
      <c r="Q22" s="111"/>
      <c r="R22" s="319"/>
    </row>
    <row r="23" spans="1:18">
      <c r="B23" s="318"/>
      <c r="C23" s="110"/>
      <c r="D23" s="110"/>
      <c r="E23" s="110"/>
      <c r="F23" s="110"/>
      <c r="G23" s="110"/>
      <c r="H23" s="110"/>
      <c r="I23" s="110"/>
      <c r="J23" s="110"/>
      <c r="K23" s="110"/>
      <c r="L23" s="110"/>
      <c r="M23" s="110"/>
      <c r="N23" s="110"/>
      <c r="O23" s="110"/>
      <c r="P23" s="110"/>
      <c r="Q23" s="111"/>
      <c r="R23" s="319"/>
    </row>
    <row r="24" spans="1:18">
      <c r="B24" s="318"/>
      <c r="C24" s="110"/>
      <c r="D24" s="110"/>
      <c r="E24" s="110"/>
      <c r="F24" s="110"/>
      <c r="G24" s="110"/>
      <c r="H24" s="110"/>
      <c r="I24" s="110"/>
      <c r="J24" s="110"/>
      <c r="K24" s="110"/>
      <c r="L24" s="110"/>
      <c r="M24" s="110"/>
      <c r="N24" s="110"/>
      <c r="O24" s="110"/>
      <c r="P24" s="110"/>
      <c r="Q24" s="111"/>
      <c r="R24" s="319"/>
    </row>
    <row r="25" spans="1:18">
      <c r="B25" s="318"/>
      <c r="C25" s="110"/>
      <c r="D25" s="110"/>
      <c r="E25" s="110"/>
      <c r="F25" s="110"/>
      <c r="G25" s="110"/>
      <c r="H25" s="110"/>
      <c r="I25" s="110"/>
      <c r="J25" s="110"/>
      <c r="K25" s="110"/>
      <c r="L25" s="110"/>
      <c r="M25" s="110"/>
      <c r="N25" s="110"/>
      <c r="O25" s="110"/>
      <c r="P25" s="110"/>
      <c r="Q25" s="111"/>
      <c r="R25" s="319"/>
    </row>
    <row r="26" spans="1:18">
      <c r="B26" s="318"/>
      <c r="C26" s="110"/>
      <c r="D26" s="110"/>
      <c r="E26" s="110"/>
      <c r="F26" s="110"/>
      <c r="G26" s="110"/>
      <c r="H26" s="110"/>
      <c r="I26" s="110"/>
      <c r="J26" s="110"/>
      <c r="K26" s="110"/>
      <c r="L26" s="110"/>
      <c r="M26" s="110"/>
      <c r="N26" s="110"/>
      <c r="O26" s="110"/>
      <c r="P26" s="110"/>
      <c r="Q26" s="111"/>
      <c r="R26" s="319"/>
    </row>
    <row r="27" spans="1:18">
      <c r="B27" s="318"/>
      <c r="C27" s="110"/>
      <c r="D27" s="110"/>
      <c r="E27" s="110"/>
      <c r="F27" s="110"/>
      <c r="G27" s="110"/>
      <c r="H27" s="110"/>
      <c r="I27" s="110"/>
      <c r="J27" s="110"/>
      <c r="K27" s="110"/>
      <c r="L27" s="110"/>
      <c r="M27" s="110"/>
      <c r="N27" s="110"/>
      <c r="O27" s="110"/>
      <c r="P27" s="110"/>
      <c r="Q27" s="111"/>
      <c r="R27" s="319"/>
    </row>
    <row r="28" spans="1:18" ht="17.25" thickBot="1">
      <c r="B28" s="320"/>
      <c r="C28" s="321"/>
      <c r="D28" s="321"/>
      <c r="E28" s="321"/>
      <c r="F28" s="321"/>
      <c r="G28" s="321"/>
      <c r="H28" s="321"/>
      <c r="I28" s="321"/>
      <c r="J28" s="321"/>
      <c r="K28" s="321"/>
      <c r="L28" s="321"/>
      <c r="M28" s="321"/>
      <c r="N28" s="321"/>
      <c r="O28" s="321"/>
      <c r="P28" s="321"/>
      <c r="Q28" s="322"/>
      <c r="R28" s="323"/>
    </row>
    <row r="31" spans="1:18">
      <c r="A31" s="1933">
        <v>2024</v>
      </c>
    </row>
    <row r="32" spans="1:18">
      <c r="A32" s="1933"/>
    </row>
    <row r="34" spans="1:18" ht="18">
      <c r="C34" s="315" t="s">
        <v>592</v>
      </c>
      <c r="D34" s="315" t="s">
        <v>593</v>
      </c>
    </row>
    <row r="35" spans="1:18" ht="18">
      <c r="C35" s="314"/>
      <c r="D35" s="314" t="s">
        <v>594</v>
      </c>
    </row>
    <row r="36" spans="1:18" ht="17.25" thickBot="1"/>
    <row r="37" spans="1:18" ht="21.75" thickBot="1">
      <c r="B37" s="2041" t="s">
        <v>595</v>
      </c>
      <c r="C37" s="2042"/>
      <c r="D37" s="2042"/>
      <c r="E37" s="2042"/>
      <c r="F37" s="2042"/>
      <c r="G37" s="2042"/>
      <c r="H37" s="2042"/>
      <c r="I37" s="2042"/>
      <c r="J37" s="2042"/>
      <c r="K37" s="2042"/>
      <c r="L37" s="2042"/>
      <c r="M37" s="2042"/>
      <c r="N37" s="2042"/>
      <c r="O37" s="2042"/>
      <c r="P37" s="2042"/>
      <c r="Q37" s="2042"/>
      <c r="R37" s="2043"/>
    </row>
    <row r="38" spans="1:18" ht="18.75" thickBot="1">
      <c r="A38" s="880" t="s">
        <v>338</v>
      </c>
      <c r="B38" s="261" t="s">
        <v>7</v>
      </c>
      <c r="C38" s="262" t="s">
        <v>596</v>
      </c>
      <c r="D38" s="262" t="s">
        <v>597</v>
      </c>
      <c r="E38" s="262" t="s">
        <v>598</v>
      </c>
      <c r="F38" s="262" t="s">
        <v>599</v>
      </c>
      <c r="G38" s="262" t="s">
        <v>600</v>
      </c>
      <c r="H38" s="262" t="s">
        <v>601</v>
      </c>
      <c r="I38" s="262" t="s">
        <v>602</v>
      </c>
      <c r="J38" s="262" t="s">
        <v>603</v>
      </c>
      <c r="K38" s="262" t="s">
        <v>604</v>
      </c>
      <c r="L38" s="262" t="s">
        <v>605</v>
      </c>
      <c r="M38" s="262" t="s">
        <v>606</v>
      </c>
      <c r="N38" s="262" t="s">
        <v>607</v>
      </c>
      <c r="O38" s="262" t="s">
        <v>608</v>
      </c>
      <c r="P38" s="262" t="s">
        <v>609</v>
      </c>
      <c r="Q38" s="262" t="s">
        <v>610</v>
      </c>
      <c r="R38" s="263" t="s">
        <v>611</v>
      </c>
    </row>
    <row r="39" spans="1:18">
      <c r="A39" s="882" t="s">
        <v>612</v>
      </c>
      <c r="B39" s="316"/>
      <c r="C39" s="112"/>
      <c r="D39" s="112"/>
      <c r="E39" s="112"/>
      <c r="F39" s="112"/>
      <c r="G39" s="112"/>
      <c r="H39" s="112"/>
      <c r="I39" s="112"/>
      <c r="J39" s="112"/>
      <c r="K39" s="112"/>
      <c r="L39" s="112"/>
      <c r="M39" s="112"/>
      <c r="N39" s="112"/>
      <c r="O39" s="112"/>
      <c r="P39" s="112"/>
      <c r="Q39" s="113"/>
      <c r="R39" s="317"/>
    </row>
    <row r="40" spans="1:18">
      <c r="A40" t="s">
        <v>81</v>
      </c>
      <c r="B40" s="318"/>
      <c r="C40" s="110"/>
      <c r="D40" s="110"/>
      <c r="E40" s="110"/>
      <c r="F40" s="110"/>
      <c r="G40" s="110"/>
      <c r="H40" s="110"/>
      <c r="I40" s="110"/>
      <c r="J40" s="110"/>
      <c r="K40" s="110"/>
      <c r="L40" s="110"/>
      <c r="M40" s="110"/>
      <c r="N40" s="110"/>
      <c r="O40" s="110"/>
      <c r="P40" s="110"/>
      <c r="Q40" s="111"/>
      <c r="R40" s="319"/>
    </row>
    <row r="41" spans="1:18">
      <c r="B41" s="318"/>
      <c r="C41" s="110"/>
      <c r="D41" s="110"/>
      <c r="E41" s="110"/>
      <c r="F41" s="110"/>
      <c r="G41" s="110"/>
      <c r="H41" s="110"/>
      <c r="I41" s="110"/>
      <c r="J41" s="110"/>
      <c r="K41" s="110"/>
      <c r="L41" s="110"/>
      <c r="M41" s="110"/>
      <c r="N41" s="110"/>
      <c r="O41" s="110"/>
      <c r="P41" s="110"/>
      <c r="Q41" s="111"/>
      <c r="R41" s="319"/>
    </row>
    <row r="42" spans="1:18">
      <c r="B42" s="318"/>
      <c r="C42" s="110"/>
      <c r="D42" s="110"/>
      <c r="E42" s="110"/>
      <c r="F42" s="110"/>
      <c r="G42" s="110"/>
      <c r="H42" s="110"/>
      <c r="I42" s="110"/>
      <c r="J42" s="110"/>
      <c r="K42" s="110"/>
      <c r="L42" s="110"/>
      <c r="M42" s="110"/>
      <c r="N42" s="110"/>
      <c r="O42" s="110"/>
      <c r="P42" s="110"/>
      <c r="Q42" s="111"/>
      <c r="R42" s="319"/>
    </row>
    <row r="43" spans="1:18">
      <c r="B43" s="318"/>
      <c r="C43" s="110"/>
      <c r="D43" s="110"/>
      <c r="E43" s="110"/>
      <c r="F43" s="110"/>
      <c r="G43" s="110"/>
      <c r="H43" s="110"/>
      <c r="I43" s="110"/>
      <c r="J43" s="110"/>
      <c r="K43" s="110"/>
      <c r="L43" s="110"/>
      <c r="M43" s="110"/>
      <c r="N43" s="110"/>
      <c r="O43" s="110"/>
      <c r="P43" s="110"/>
      <c r="Q43" s="111"/>
      <c r="R43" s="319"/>
    </row>
    <row r="44" spans="1:18">
      <c r="B44" s="318"/>
      <c r="C44" s="110"/>
      <c r="D44" s="110"/>
      <c r="E44" s="110"/>
      <c r="F44" s="110"/>
      <c r="G44" s="110"/>
      <c r="H44" s="110"/>
      <c r="I44" s="110"/>
      <c r="J44" s="110"/>
      <c r="K44" s="110"/>
      <c r="L44" s="110"/>
      <c r="M44" s="110"/>
      <c r="N44" s="110"/>
      <c r="O44" s="110"/>
      <c r="P44" s="110"/>
      <c r="Q44" s="111"/>
      <c r="R44" s="319"/>
    </row>
    <row r="45" spans="1:18">
      <c r="B45" s="318"/>
      <c r="C45" s="110"/>
      <c r="D45" s="110"/>
      <c r="E45" s="110"/>
      <c r="F45" s="110"/>
      <c r="G45" s="110"/>
      <c r="H45" s="110"/>
      <c r="I45" s="110"/>
      <c r="J45" s="110"/>
      <c r="K45" s="110"/>
      <c r="L45" s="110"/>
      <c r="M45" s="110"/>
      <c r="N45" s="110"/>
      <c r="O45" s="110"/>
      <c r="P45" s="110"/>
      <c r="Q45" s="111"/>
      <c r="R45" s="319"/>
    </row>
    <row r="46" spans="1:18">
      <c r="B46" s="318"/>
      <c r="C46" s="110"/>
      <c r="D46" s="110"/>
      <c r="E46" s="110"/>
      <c r="F46" s="110"/>
      <c r="G46" s="110"/>
      <c r="H46" s="110"/>
      <c r="I46" s="110"/>
      <c r="J46" s="110"/>
      <c r="K46" s="110"/>
      <c r="L46" s="110"/>
      <c r="M46" s="110"/>
      <c r="N46" s="110"/>
      <c r="O46" s="110"/>
      <c r="P46" s="110"/>
      <c r="Q46" s="111"/>
      <c r="R46" s="319"/>
    </row>
    <row r="47" spans="1:18">
      <c r="B47" s="318"/>
      <c r="C47" s="110"/>
      <c r="D47" s="110"/>
      <c r="E47" s="110"/>
      <c r="F47" s="110"/>
      <c r="G47" s="110"/>
      <c r="H47" s="110"/>
      <c r="I47" s="110"/>
      <c r="J47" s="110"/>
      <c r="K47" s="110"/>
      <c r="L47" s="110"/>
      <c r="M47" s="110"/>
      <c r="N47" s="110"/>
      <c r="O47" s="110"/>
      <c r="P47" s="110"/>
      <c r="Q47" s="111"/>
      <c r="R47" s="319"/>
    </row>
    <row r="48" spans="1:18">
      <c r="B48" s="318"/>
      <c r="C48" s="110"/>
      <c r="D48" s="110"/>
      <c r="E48" s="110"/>
      <c r="F48" s="110"/>
      <c r="G48" s="110"/>
      <c r="H48" s="110"/>
      <c r="I48" s="110"/>
      <c r="J48" s="110"/>
      <c r="K48" s="110"/>
      <c r="L48" s="110"/>
      <c r="M48" s="110"/>
      <c r="N48" s="110"/>
      <c r="O48" s="110"/>
      <c r="P48" s="110"/>
      <c r="Q48" s="111"/>
      <c r="R48" s="319"/>
    </row>
    <row r="49" spans="2:18">
      <c r="B49" s="318"/>
      <c r="C49" s="110"/>
      <c r="D49" s="110"/>
      <c r="E49" s="110"/>
      <c r="F49" s="110"/>
      <c r="G49" s="110"/>
      <c r="H49" s="110"/>
      <c r="I49" s="110"/>
      <c r="J49" s="110"/>
      <c r="K49" s="110"/>
      <c r="L49" s="110"/>
      <c r="M49" s="110"/>
      <c r="N49" s="110"/>
      <c r="O49" s="110"/>
      <c r="P49" s="110"/>
      <c r="Q49" s="111"/>
      <c r="R49" s="319"/>
    </row>
    <row r="50" spans="2:18">
      <c r="B50" s="318"/>
      <c r="C50" s="110"/>
      <c r="D50" s="110"/>
      <c r="E50" s="110"/>
      <c r="F50" s="110"/>
      <c r="G50" s="110"/>
      <c r="H50" s="110"/>
      <c r="I50" s="110"/>
      <c r="J50" s="110"/>
      <c r="K50" s="110"/>
      <c r="L50" s="110"/>
      <c r="M50" s="110"/>
      <c r="N50" s="110"/>
      <c r="O50" s="110"/>
      <c r="P50" s="110"/>
      <c r="Q50" s="111"/>
      <c r="R50" s="319"/>
    </row>
    <row r="51" spans="2:18">
      <c r="B51" s="318"/>
      <c r="C51" s="110"/>
      <c r="D51" s="110"/>
      <c r="E51" s="110"/>
      <c r="F51" s="110"/>
      <c r="G51" s="110"/>
      <c r="H51" s="110"/>
      <c r="I51" s="110"/>
      <c r="J51" s="110"/>
      <c r="K51" s="110"/>
      <c r="L51" s="110"/>
      <c r="M51" s="110"/>
      <c r="N51" s="110"/>
      <c r="O51" s="110"/>
      <c r="P51" s="110"/>
      <c r="Q51" s="111"/>
      <c r="R51" s="319"/>
    </row>
    <row r="52" spans="2:18">
      <c r="B52" s="318"/>
      <c r="C52" s="110"/>
      <c r="D52" s="110"/>
      <c r="E52" s="110"/>
      <c r="F52" s="110"/>
      <c r="G52" s="110"/>
      <c r="H52" s="110"/>
      <c r="I52" s="110"/>
      <c r="J52" s="110"/>
      <c r="K52" s="110"/>
      <c r="L52" s="110"/>
      <c r="M52" s="110"/>
      <c r="N52" s="110"/>
      <c r="O52" s="110"/>
      <c r="P52" s="110"/>
      <c r="Q52" s="111"/>
      <c r="R52" s="319"/>
    </row>
    <row r="53" spans="2:18">
      <c r="B53" s="318"/>
      <c r="C53" s="110"/>
      <c r="D53" s="110"/>
      <c r="E53" s="110"/>
      <c r="F53" s="110"/>
      <c r="G53" s="110"/>
      <c r="H53" s="110"/>
      <c r="I53" s="110"/>
      <c r="J53" s="110"/>
      <c r="K53" s="110"/>
      <c r="L53" s="110"/>
      <c r="M53" s="110"/>
      <c r="N53" s="110"/>
      <c r="O53" s="110"/>
      <c r="P53" s="110"/>
      <c r="Q53" s="111"/>
      <c r="R53" s="319"/>
    </row>
    <row r="54" spans="2:18">
      <c r="B54" s="318"/>
      <c r="C54" s="110"/>
      <c r="D54" s="110"/>
      <c r="E54" s="110"/>
      <c r="F54" s="110"/>
      <c r="G54" s="110"/>
      <c r="H54" s="110"/>
      <c r="I54" s="110"/>
      <c r="J54" s="110"/>
      <c r="K54" s="110"/>
      <c r="L54" s="110"/>
      <c r="M54" s="110"/>
      <c r="N54" s="110"/>
      <c r="O54" s="110"/>
      <c r="P54" s="110"/>
      <c r="Q54" s="111"/>
      <c r="R54" s="319"/>
    </row>
    <row r="55" spans="2:18">
      <c r="B55" s="318"/>
      <c r="C55" s="110"/>
      <c r="D55" s="110"/>
      <c r="E55" s="110"/>
      <c r="F55" s="110"/>
      <c r="G55" s="110"/>
      <c r="H55" s="110"/>
      <c r="I55" s="110"/>
      <c r="J55" s="110"/>
      <c r="K55" s="110"/>
      <c r="L55" s="110"/>
      <c r="M55" s="110"/>
      <c r="N55" s="110"/>
      <c r="O55" s="110"/>
      <c r="P55" s="110"/>
      <c r="Q55" s="111"/>
      <c r="R55" s="319"/>
    </row>
    <row r="56" spans="2:18">
      <c r="B56" s="318"/>
      <c r="C56" s="110"/>
      <c r="D56" s="110"/>
      <c r="E56" s="110"/>
      <c r="F56" s="110"/>
      <c r="G56" s="110"/>
      <c r="H56" s="110"/>
      <c r="I56" s="110"/>
      <c r="J56" s="110"/>
      <c r="K56" s="110"/>
      <c r="L56" s="110"/>
      <c r="M56" s="110"/>
      <c r="N56" s="110"/>
      <c r="O56" s="110"/>
      <c r="P56" s="110"/>
      <c r="Q56" s="111"/>
      <c r="R56" s="319"/>
    </row>
    <row r="57" spans="2:18" ht="17.25" thickBot="1">
      <c r="B57" s="320"/>
      <c r="C57" s="321"/>
      <c r="D57" s="321"/>
      <c r="E57" s="321"/>
      <c r="F57" s="321"/>
      <c r="G57" s="321"/>
      <c r="H57" s="321"/>
      <c r="I57" s="321"/>
      <c r="J57" s="321"/>
      <c r="K57" s="321"/>
      <c r="L57" s="321"/>
      <c r="M57" s="321"/>
      <c r="N57" s="321"/>
      <c r="O57" s="321"/>
      <c r="P57" s="321"/>
      <c r="Q57" s="322"/>
      <c r="R57" s="323"/>
    </row>
  </sheetData>
  <mergeCells count="4">
    <mergeCell ref="B8:R8"/>
    <mergeCell ref="A5:A6"/>
    <mergeCell ref="A31:A32"/>
    <mergeCell ref="B37:R37"/>
  </mergeCell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DCEE8F-557E-49D8-A650-4C443EB437F2}">
  <dimension ref="A1:M230"/>
  <sheetViews>
    <sheetView showGridLines="0" zoomScale="97" zoomScaleNormal="91" workbookViewId="0">
      <pane xSplit="1" ySplit="3" topLeftCell="B228" activePane="bottomRight" state="frozen"/>
      <selection pane="topRight" activeCell="B1" sqref="B1"/>
      <selection pane="bottomLeft" activeCell="A4" sqref="A4"/>
      <selection pane="bottomRight" activeCell="D251" sqref="D251"/>
    </sheetView>
  </sheetViews>
  <sheetFormatPr defaultColWidth="9.140625" defaultRowHeight="16.5"/>
  <cols>
    <col min="1" max="1" width="34.7109375" style="41" customWidth="1"/>
    <col min="2" max="2" width="13.140625" style="41" bestFit="1" customWidth="1"/>
    <col min="3" max="3" width="44.85546875" style="41" customWidth="1"/>
    <col min="4" max="4" width="35.42578125" style="95" customWidth="1"/>
    <col min="5" max="5" width="16.42578125" style="41" bestFit="1" customWidth="1"/>
    <col min="6" max="6" width="15.85546875" style="41" customWidth="1"/>
    <col min="7" max="7" width="18.28515625" style="41" bestFit="1" customWidth="1"/>
    <col min="8" max="8" width="15.85546875" style="41" customWidth="1"/>
    <col min="9" max="9" width="11.5703125" style="41" customWidth="1"/>
    <col min="10" max="10" width="14.28515625" style="41" bestFit="1" customWidth="1"/>
    <col min="11" max="11" width="11" style="41" bestFit="1" customWidth="1"/>
    <col min="12" max="12" width="35.140625" style="41" bestFit="1" customWidth="1"/>
    <col min="13" max="13" width="14.42578125" style="41" bestFit="1" customWidth="1"/>
    <col min="14" max="16384" width="9.140625" style="41"/>
  </cols>
  <sheetData>
    <row r="1" spans="1:13" ht="30" customHeight="1"/>
    <row r="2" spans="1:13" ht="30" customHeight="1"/>
    <row r="3" spans="1:13" ht="30" customHeight="1"/>
    <row r="4" spans="1:13" ht="30" customHeight="1"/>
    <row r="5" spans="1:13" ht="21.75" thickBot="1">
      <c r="A5" s="1933">
        <v>2023</v>
      </c>
      <c r="B5" s="2044" t="s">
        <v>255</v>
      </c>
      <c r="C5" s="2044"/>
      <c r="D5" s="2044"/>
      <c r="E5" s="2044"/>
      <c r="F5" s="2044"/>
      <c r="G5" s="2044"/>
      <c r="H5" s="2044"/>
      <c r="I5" s="2044"/>
      <c r="J5" s="2044"/>
      <c r="K5" s="2044"/>
      <c r="L5" s="2044"/>
      <c r="M5" s="2044"/>
    </row>
    <row r="6" spans="1:13" s="44" customFormat="1" ht="18.75" thickBot="1">
      <c r="A6" s="1933"/>
      <c r="B6" s="63" t="s">
        <v>121</v>
      </c>
      <c r="C6" s="63" t="s">
        <v>613</v>
      </c>
      <c r="D6" s="68" t="s">
        <v>614</v>
      </c>
      <c r="E6" s="63" t="s">
        <v>615</v>
      </c>
      <c r="F6" s="63" t="s">
        <v>616</v>
      </c>
      <c r="G6" s="63" t="s">
        <v>617</v>
      </c>
      <c r="H6" s="63" t="s">
        <v>618</v>
      </c>
      <c r="I6" s="63" t="s">
        <v>619</v>
      </c>
      <c r="J6" s="63" t="s">
        <v>620</v>
      </c>
      <c r="K6" s="68" t="s">
        <v>621</v>
      </c>
      <c r="L6" s="63" t="s">
        <v>622</v>
      </c>
      <c r="M6" s="63" t="s">
        <v>623</v>
      </c>
    </row>
    <row r="7" spans="1:13">
      <c r="B7" s="1985" t="s">
        <v>127</v>
      </c>
      <c r="C7" s="72" t="s">
        <v>624</v>
      </c>
      <c r="D7" s="276"/>
      <c r="E7" s="104"/>
      <c r="F7" s="104"/>
      <c r="G7" s="104"/>
      <c r="H7" s="104"/>
      <c r="I7" s="104"/>
      <c r="J7" s="104"/>
      <c r="K7" s="104"/>
      <c r="L7" s="104"/>
      <c r="M7" s="104"/>
    </row>
    <row r="8" spans="1:13">
      <c r="A8" s="880" t="s">
        <v>338</v>
      </c>
      <c r="B8" s="1986"/>
      <c r="C8" s="73" t="s">
        <v>625</v>
      </c>
      <c r="D8" s="277"/>
      <c r="E8" s="96"/>
      <c r="F8" s="96"/>
      <c r="G8" s="96"/>
      <c r="H8" s="96"/>
      <c r="I8" s="96"/>
      <c r="J8" s="96"/>
      <c r="K8" s="96"/>
      <c r="L8" s="96"/>
      <c r="M8" s="96"/>
    </row>
    <row r="9" spans="1:13">
      <c r="A9" s="882" t="s">
        <v>255</v>
      </c>
      <c r="B9" s="1986"/>
      <c r="C9" s="73" t="s">
        <v>626</v>
      </c>
      <c r="D9" s="277"/>
      <c r="E9" s="96"/>
      <c r="F9" s="96"/>
      <c r="G9" s="96"/>
      <c r="H9" s="96"/>
      <c r="I9" s="96"/>
      <c r="J9" s="96"/>
      <c r="K9" s="96"/>
      <c r="L9" s="96"/>
      <c r="M9" s="96"/>
    </row>
    <row r="10" spans="1:13">
      <c r="A10" t="s">
        <v>81</v>
      </c>
      <c r="B10" s="1986"/>
      <c r="C10" s="73" t="s">
        <v>627</v>
      </c>
      <c r="D10" s="277"/>
      <c r="E10" s="96"/>
      <c r="F10" s="96"/>
      <c r="G10" s="96"/>
      <c r="H10" s="96"/>
      <c r="I10" s="96"/>
      <c r="J10" s="96"/>
      <c r="K10" s="96"/>
      <c r="L10" s="96"/>
      <c r="M10" s="96"/>
    </row>
    <row r="11" spans="1:13">
      <c r="B11" s="1986"/>
      <c r="C11" s="73" t="s">
        <v>628</v>
      </c>
      <c r="D11" s="277"/>
      <c r="E11" s="96"/>
      <c r="F11" s="96"/>
      <c r="G11" s="96"/>
      <c r="H11" s="96"/>
      <c r="I11" s="96"/>
      <c r="J11" s="96"/>
      <c r="K11" s="96"/>
      <c r="L11" s="96"/>
      <c r="M11" s="96"/>
    </row>
    <row r="12" spans="1:13">
      <c r="B12" s="1986"/>
      <c r="C12" s="73" t="s">
        <v>629</v>
      </c>
      <c r="D12" s="277"/>
      <c r="E12" s="96"/>
      <c r="F12" s="96"/>
      <c r="G12" s="96"/>
      <c r="H12" s="96"/>
      <c r="I12" s="96"/>
      <c r="J12" s="96"/>
      <c r="K12" s="96"/>
      <c r="L12" s="96"/>
      <c r="M12" s="96"/>
    </row>
    <row r="13" spans="1:13">
      <c r="B13" s="1986"/>
      <c r="C13" s="73" t="s">
        <v>630</v>
      </c>
      <c r="D13" s="277"/>
      <c r="E13" s="96"/>
      <c r="F13" s="96"/>
      <c r="G13" s="96"/>
      <c r="H13" s="96"/>
      <c r="I13" s="96"/>
      <c r="J13" s="96"/>
      <c r="K13" s="96"/>
      <c r="L13" s="96"/>
      <c r="M13" s="96"/>
    </row>
    <row r="14" spans="1:13" ht="15" customHeight="1">
      <c r="B14" s="1986"/>
      <c r="C14" s="87" t="s">
        <v>631</v>
      </c>
      <c r="D14" s="1843" t="s">
        <v>632</v>
      </c>
      <c r="E14" s="1844" t="s">
        <v>388</v>
      </c>
      <c r="F14" s="1844">
        <f>G14*H14</f>
        <v>63335</v>
      </c>
      <c r="G14" s="1844">
        <v>597.5</v>
      </c>
      <c r="H14" s="1844">
        <v>106</v>
      </c>
      <c r="I14" s="96"/>
      <c r="J14" s="96"/>
      <c r="K14" s="96"/>
      <c r="L14" s="96" t="s">
        <v>633</v>
      </c>
      <c r="M14" s="96" t="s">
        <v>634</v>
      </c>
    </row>
    <row r="15" spans="1:13" ht="18.75" thickBot="1">
      <c r="B15" s="1987"/>
      <c r="C15" s="12" t="s">
        <v>334</v>
      </c>
      <c r="D15" s="114"/>
      <c r="E15" s="115"/>
      <c r="F15" s="115">
        <f>IF(SUM(F7:F14)=0,"",SUM(F7:F14))</f>
        <v>63335</v>
      </c>
      <c r="G15" s="115">
        <f>IF(SUM(G7:G14)=0,"",SUM(G7:G14))</f>
        <v>597.5</v>
      </c>
      <c r="H15" s="115">
        <f>IF(SUM(H7:H14)=0,"",SUM(H7:H14))</f>
        <v>106</v>
      </c>
      <c r="I15" s="115"/>
      <c r="J15" s="115"/>
      <c r="K15" s="115"/>
      <c r="L15" s="115"/>
      <c r="M15" s="115"/>
    </row>
    <row r="16" spans="1:13">
      <c r="B16" s="1985" t="s">
        <v>635</v>
      </c>
      <c r="C16" s="72" t="s">
        <v>624</v>
      </c>
      <c r="D16" s="276"/>
      <c r="E16" s="104"/>
      <c r="F16" s="104"/>
      <c r="G16" s="104"/>
      <c r="H16" s="104"/>
      <c r="I16" s="104"/>
      <c r="J16" s="104"/>
      <c r="K16" s="104"/>
      <c r="L16" s="104"/>
      <c r="M16" s="104"/>
    </row>
    <row r="17" spans="2:13">
      <c r="B17" s="1986"/>
      <c r="C17" s="73" t="s">
        <v>625</v>
      </c>
      <c r="D17" s="277"/>
      <c r="E17" s="96"/>
      <c r="F17" s="96"/>
      <c r="G17" s="96"/>
      <c r="H17" s="96"/>
      <c r="I17" s="96"/>
      <c r="J17" s="96"/>
      <c r="K17" s="96"/>
      <c r="L17" s="96"/>
      <c r="M17" s="96"/>
    </row>
    <row r="18" spans="2:13">
      <c r="B18" s="1986"/>
      <c r="C18" s="73" t="s">
        <v>626</v>
      </c>
      <c r="D18" s="277"/>
      <c r="E18" s="96"/>
      <c r="F18" s="96"/>
      <c r="G18" s="96"/>
      <c r="H18" s="96"/>
      <c r="I18" s="96"/>
      <c r="J18" s="96"/>
      <c r="K18" s="96"/>
      <c r="L18" s="96"/>
      <c r="M18" s="96"/>
    </row>
    <row r="19" spans="2:13">
      <c r="B19" s="1986"/>
      <c r="C19" s="73" t="s">
        <v>627</v>
      </c>
      <c r="D19" s="277"/>
      <c r="E19" s="96"/>
      <c r="F19" s="96"/>
      <c r="G19" s="96"/>
      <c r="H19" s="96"/>
      <c r="I19" s="96"/>
      <c r="J19" s="96"/>
      <c r="K19" s="96"/>
      <c r="L19" s="96"/>
      <c r="M19" s="96"/>
    </row>
    <row r="20" spans="2:13">
      <c r="B20" s="1986"/>
      <c r="C20" s="73" t="s">
        <v>628</v>
      </c>
      <c r="D20" s="277"/>
      <c r="E20" s="96"/>
      <c r="F20" s="96"/>
      <c r="G20" s="96"/>
      <c r="H20" s="96"/>
      <c r="I20" s="96"/>
      <c r="J20" s="96"/>
      <c r="K20" s="96"/>
      <c r="L20" s="96"/>
      <c r="M20" s="96"/>
    </row>
    <row r="21" spans="2:13">
      <c r="B21" s="1986"/>
      <c r="C21" s="73" t="s">
        <v>629</v>
      </c>
      <c r="D21" s="277"/>
      <c r="E21" s="96"/>
      <c r="F21" s="96"/>
      <c r="G21" s="96"/>
      <c r="H21" s="96"/>
      <c r="I21" s="96"/>
      <c r="J21" s="96"/>
      <c r="K21" s="96"/>
      <c r="L21" s="96"/>
      <c r="M21" s="96"/>
    </row>
    <row r="22" spans="2:13">
      <c r="B22" s="1986"/>
      <c r="C22" s="73" t="s">
        <v>630</v>
      </c>
      <c r="D22" s="277"/>
      <c r="E22" s="96"/>
      <c r="F22" s="96"/>
      <c r="G22" s="96"/>
      <c r="H22" s="96"/>
      <c r="I22" s="96"/>
      <c r="J22" s="96"/>
      <c r="K22" s="96"/>
      <c r="L22" s="96"/>
      <c r="M22" s="96"/>
    </row>
    <row r="23" spans="2:13" ht="18" customHeight="1">
      <c r="B23" s="1986"/>
      <c r="C23" s="87" t="s">
        <v>631</v>
      </c>
      <c r="D23" s="1843" t="s">
        <v>632</v>
      </c>
      <c r="E23" s="1844" t="s">
        <v>388</v>
      </c>
      <c r="F23" s="1844">
        <f>G23*H23</f>
        <v>66491.679999999993</v>
      </c>
      <c r="G23" s="1844">
        <v>627.28</v>
      </c>
      <c r="H23" s="1844">
        <v>106</v>
      </c>
      <c r="I23" s="96"/>
      <c r="J23" s="96"/>
      <c r="K23" s="96"/>
      <c r="L23" s="96" t="s">
        <v>633</v>
      </c>
      <c r="M23" s="96" t="s">
        <v>634</v>
      </c>
    </row>
    <row r="24" spans="2:13" ht="18.75" thickBot="1">
      <c r="B24" s="1987"/>
      <c r="C24" s="12" t="s">
        <v>334</v>
      </c>
      <c r="D24" s="114"/>
      <c r="E24" s="115"/>
      <c r="F24" s="115">
        <f>IF(SUM(F16:F23)=0,"",SUM(F16:F23))</f>
        <v>66491.679999999993</v>
      </c>
      <c r="G24" s="115">
        <f>IF(SUM(G16:G23)=0,"",SUM(G16:G23))</f>
        <v>627.28</v>
      </c>
      <c r="H24" s="115">
        <f>IF(SUM(H16:H23)=0,"",SUM(H16:H23))</f>
        <v>106</v>
      </c>
      <c r="I24" s="115"/>
      <c r="J24" s="115"/>
      <c r="K24" s="115"/>
      <c r="L24" s="115"/>
      <c r="M24" s="115"/>
    </row>
    <row r="25" spans="2:13">
      <c r="B25" s="1986" t="s">
        <v>129</v>
      </c>
      <c r="C25" s="72" t="s">
        <v>624</v>
      </c>
      <c r="D25" s="277"/>
      <c r="E25" s="96"/>
      <c r="F25" s="96"/>
      <c r="G25" s="96"/>
      <c r="H25" s="96"/>
      <c r="I25" s="96"/>
      <c r="J25" s="96"/>
      <c r="K25" s="96"/>
      <c r="L25" s="96"/>
      <c r="M25" s="96"/>
    </row>
    <row r="26" spans="2:13" ht="33">
      <c r="B26" s="1986"/>
      <c r="C26" s="73" t="s">
        <v>625</v>
      </c>
      <c r="D26" s="1843" t="s">
        <v>636</v>
      </c>
      <c r="E26" s="1844" t="s">
        <v>388</v>
      </c>
      <c r="F26" s="1844">
        <v>56950</v>
      </c>
      <c r="G26" s="1851">
        <f>F26/H26</f>
        <v>537.2641509433962</v>
      </c>
      <c r="H26" s="1844">
        <v>106</v>
      </c>
      <c r="I26" s="1844" t="s">
        <v>388</v>
      </c>
      <c r="J26" s="431">
        <v>5000074441</v>
      </c>
      <c r="K26" s="96"/>
      <c r="L26" s="431" t="s">
        <v>637</v>
      </c>
      <c r="M26" s="431" t="s">
        <v>638</v>
      </c>
    </row>
    <row r="27" spans="2:13">
      <c r="B27" s="1986"/>
      <c r="C27" s="73" t="s">
        <v>626</v>
      </c>
      <c r="D27" s="1845" t="s">
        <v>388</v>
      </c>
      <c r="E27" s="1846" t="s">
        <v>388</v>
      </c>
      <c r="F27" s="1846" t="s">
        <v>388</v>
      </c>
      <c r="G27" s="1846" t="s">
        <v>388</v>
      </c>
      <c r="H27" s="1846" t="s">
        <v>388</v>
      </c>
      <c r="I27" s="1846" t="s">
        <v>388</v>
      </c>
      <c r="J27" s="1846" t="s">
        <v>388</v>
      </c>
      <c r="K27" s="96"/>
      <c r="L27" s="96"/>
      <c r="M27" s="96"/>
    </row>
    <row r="28" spans="2:13">
      <c r="B28" s="1986"/>
      <c r="C28" s="73" t="s">
        <v>627</v>
      </c>
      <c r="D28" s="1845" t="s">
        <v>388</v>
      </c>
      <c r="E28" s="1846" t="s">
        <v>388</v>
      </c>
      <c r="F28" s="1846" t="s">
        <v>388</v>
      </c>
      <c r="G28" s="1846" t="s">
        <v>388</v>
      </c>
      <c r="H28" s="1846" t="s">
        <v>388</v>
      </c>
      <c r="I28" s="1846" t="s">
        <v>388</v>
      </c>
      <c r="J28" s="1846" t="s">
        <v>388</v>
      </c>
      <c r="K28" s="96"/>
      <c r="L28" s="96"/>
      <c r="M28" s="96"/>
    </row>
    <row r="29" spans="2:13">
      <c r="B29" s="1986"/>
      <c r="C29" s="73" t="s">
        <v>628</v>
      </c>
      <c r="D29" s="1845" t="s">
        <v>388</v>
      </c>
      <c r="E29" s="1846" t="s">
        <v>388</v>
      </c>
      <c r="F29" s="1846" t="s">
        <v>388</v>
      </c>
      <c r="G29" s="1846" t="s">
        <v>388</v>
      </c>
      <c r="H29" s="1846" t="s">
        <v>388</v>
      </c>
      <c r="I29" s="1846" t="s">
        <v>388</v>
      </c>
      <c r="J29" s="1846" t="s">
        <v>388</v>
      </c>
      <c r="K29" s="96"/>
      <c r="L29" s="96"/>
      <c r="M29" s="96"/>
    </row>
    <row r="30" spans="2:13">
      <c r="B30" s="1986"/>
      <c r="C30" s="73" t="s">
        <v>629</v>
      </c>
      <c r="D30" s="1845" t="s">
        <v>388</v>
      </c>
      <c r="E30" s="1846" t="s">
        <v>388</v>
      </c>
      <c r="F30" s="1846" t="s">
        <v>388</v>
      </c>
      <c r="G30" s="1846" t="s">
        <v>388</v>
      </c>
      <c r="H30" s="1846" t="s">
        <v>388</v>
      </c>
      <c r="I30" s="1846" t="s">
        <v>388</v>
      </c>
      <c r="J30" s="1846" t="s">
        <v>388</v>
      </c>
      <c r="K30" s="96"/>
      <c r="L30" s="96"/>
      <c r="M30" s="96"/>
    </row>
    <row r="31" spans="2:13">
      <c r="B31" s="1986"/>
      <c r="C31" s="73" t="s">
        <v>630</v>
      </c>
      <c r="D31" s="1845" t="s">
        <v>388</v>
      </c>
      <c r="E31" s="1846" t="s">
        <v>388</v>
      </c>
      <c r="F31" s="1846" t="s">
        <v>388</v>
      </c>
      <c r="G31" s="1846" t="s">
        <v>388</v>
      </c>
      <c r="H31" s="1846" t="s">
        <v>388</v>
      </c>
      <c r="I31" s="1846" t="s">
        <v>388</v>
      </c>
      <c r="J31" s="1846" t="s">
        <v>388</v>
      </c>
      <c r="K31" s="96"/>
      <c r="L31" s="96"/>
      <c r="M31" s="96"/>
    </row>
    <row r="32" spans="2:13" ht="33">
      <c r="B32" s="1986"/>
      <c r="C32" s="87" t="s">
        <v>631</v>
      </c>
      <c r="D32" s="1845" t="s">
        <v>632</v>
      </c>
      <c r="E32" s="1846" t="s">
        <v>388</v>
      </c>
      <c r="F32" s="1846">
        <f>G32*H32</f>
        <v>90206</v>
      </c>
      <c r="G32" s="1852">
        <v>851</v>
      </c>
      <c r="H32" s="1846">
        <v>106</v>
      </c>
      <c r="I32" s="1846" t="s">
        <v>388</v>
      </c>
      <c r="J32" s="1846" t="s">
        <v>388</v>
      </c>
      <c r="K32" s="96"/>
      <c r="L32" s="96" t="s">
        <v>633</v>
      </c>
      <c r="M32" s="96" t="s">
        <v>634</v>
      </c>
    </row>
    <row r="33" spans="2:13" ht="18.75" thickBot="1">
      <c r="B33" s="1987"/>
      <c r="C33" s="12" t="s">
        <v>334</v>
      </c>
      <c r="D33" s="114"/>
      <c r="E33" s="115"/>
      <c r="F33" s="115">
        <f>IF(SUM(F25:F32)=0,"",SUM(F25:F32))</f>
        <v>147156</v>
      </c>
      <c r="G33" s="434">
        <f>IF(SUM(G25:G32)=0,"",SUM(G25:G32))</f>
        <v>1388.2641509433961</v>
      </c>
      <c r="H33" s="433">
        <v>106</v>
      </c>
      <c r="I33" s="115"/>
      <c r="J33" s="115"/>
      <c r="K33" s="115"/>
      <c r="L33" s="115"/>
      <c r="M33" s="115"/>
    </row>
    <row r="34" spans="2:13">
      <c r="B34" s="1985" t="s">
        <v>130</v>
      </c>
      <c r="C34" s="72" t="s">
        <v>624</v>
      </c>
      <c r="D34" s="276"/>
      <c r="E34" s="104"/>
      <c r="F34" s="104"/>
      <c r="G34" s="104"/>
      <c r="H34" s="104"/>
      <c r="I34" s="104"/>
      <c r="J34" s="104"/>
      <c r="K34" s="104"/>
      <c r="L34" s="104"/>
      <c r="M34" s="104"/>
    </row>
    <row r="35" spans="2:13" ht="33">
      <c r="B35" s="1986"/>
      <c r="C35" s="73" t="s">
        <v>625</v>
      </c>
      <c r="D35" s="1843" t="s">
        <v>636</v>
      </c>
      <c r="E35" s="1844" t="s">
        <v>388</v>
      </c>
      <c r="F35" s="1844">
        <v>59915</v>
      </c>
      <c r="G35" s="1851">
        <f>F35/H35</f>
        <v>565.2358490566038</v>
      </c>
      <c r="H35" s="1844">
        <v>106</v>
      </c>
      <c r="I35" s="1844" t="s">
        <v>388</v>
      </c>
      <c r="J35" s="431">
        <v>5000078008</v>
      </c>
      <c r="K35" s="96"/>
      <c r="L35" s="431" t="s">
        <v>639</v>
      </c>
      <c r="M35" s="431" t="s">
        <v>638</v>
      </c>
    </row>
    <row r="36" spans="2:13">
      <c r="B36" s="1986"/>
      <c r="C36" s="73" t="s">
        <v>626</v>
      </c>
      <c r="D36" s="1845" t="s">
        <v>388</v>
      </c>
      <c r="E36" s="1846" t="s">
        <v>388</v>
      </c>
      <c r="F36" s="1846" t="s">
        <v>388</v>
      </c>
      <c r="G36" s="1846" t="s">
        <v>388</v>
      </c>
      <c r="H36" s="1846" t="s">
        <v>388</v>
      </c>
      <c r="I36" s="1846" t="s">
        <v>388</v>
      </c>
      <c r="J36" s="96"/>
      <c r="K36" s="96"/>
      <c r="L36" s="96"/>
      <c r="M36" s="96"/>
    </row>
    <row r="37" spans="2:13">
      <c r="B37" s="1986"/>
      <c r="C37" s="73" t="s">
        <v>627</v>
      </c>
      <c r="D37" s="1845" t="s">
        <v>388</v>
      </c>
      <c r="E37" s="1846" t="s">
        <v>388</v>
      </c>
      <c r="F37" s="1846" t="s">
        <v>388</v>
      </c>
      <c r="G37" s="1846" t="s">
        <v>388</v>
      </c>
      <c r="H37" s="1846" t="s">
        <v>388</v>
      </c>
      <c r="I37" s="1846" t="s">
        <v>388</v>
      </c>
      <c r="J37" s="96"/>
      <c r="K37" s="96"/>
      <c r="L37" s="96"/>
      <c r="M37" s="96"/>
    </row>
    <row r="38" spans="2:13">
      <c r="B38" s="1986"/>
      <c r="C38" s="73" t="s">
        <v>628</v>
      </c>
      <c r="D38" s="1845" t="s">
        <v>388</v>
      </c>
      <c r="E38" s="1846" t="s">
        <v>388</v>
      </c>
      <c r="F38" s="1846" t="s">
        <v>388</v>
      </c>
      <c r="G38" s="1846" t="s">
        <v>388</v>
      </c>
      <c r="H38" s="1846" t="s">
        <v>388</v>
      </c>
      <c r="I38" s="1846" t="s">
        <v>388</v>
      </c>
      <c r="J38" s="96"/>
      <c r="K38" s="96"/>
      <c r="L38" s="96"/>
      <c r="M38" s="96"/>
    </row>
    <row r="39" spans="2:13">
      <c r="B39" s="1986"/>
      <c r="C39" s="73" t="s">
        <v>629</v>
      </c>
      <c r="D39" s="1845" t="s">
        <v>388</v>
      </c>
      <c r="E39" s="1846" t="s">
        <v>388</v>
      </c>
      <c r="F39" s="1846" t="s">
        <v>388</v>
      </c>
      <c r="G39" s="1846" t="s">
        <v>388</v>
      </c>
      <c r="H39" s="1846" t="s">
        <v>388</v>
      </c>
      <c r="I39" s="1846" t="s">
        <v>388</v>
      </c>
      <c r="J39" s="96"/>
      <c r="K39" s="96"/>
      <c r="L39" s="96"/>
      <c r="M39" s="96"/>
    </row>
    <row r="40" spans="2:13">
      <c r="B40" s="1986"/>
      <c r="C40" s="73" t="s">
        <v>630</v>
      </c>
      <c r="D40" s="1845" t="s">
        <v>388</v>
      </c>
      <c r="E40" s="1846" t="s">
        <v>388</v>
      </c>
      <c r="F40" s="1846" t="s">
        <v>388</v>
      </c>
      <c r="G40" s="1846" t="s">
        <v>388</v>
      </c>
      <c r="H40" s="1846" t="s">
        <v>388</v>
      </c>
      <c r="I40" s="1846" t="s">
        <v>388</v>
      </c>
      <c r="J40" s="96"/>
      <c r="K40" s="96"/>
      <c r="L40" s="96"/>
      <c r="M40" s="96"/>
    </row>
    <row r="41" spans="2:13" ht="33">
      <c r="B41" s="1986"/>
      <c r="C41" s="87" t="s">
        <v>631</v>
      </c>
      <c r="D41" s="1845" t="s">
        <v>632</v>
      </c>
      <c r="E41" s="1846" t="s">
        <v>388</v>
      </c>
      <c r="F41" s="1846">
        <f>G41*H41</f>
        <v>74665.34</v>
      </c>
      <c r="G41" s="1846">
        <v>704.39</v>
      </c>
      <c r="H41" s="1846">
        <v>106</v>
      </c>
      <c r="I41" s="1846" t="s">
        <v>388</v>
      </c>
      <c r="J41" s="96"/>
      <c r="K41" s="96"/>
      <c r="L41" s="96" t="s">
        <v>633</v>
      </c>
      <c r="M41" s="96" t="s">
        <v>634</v>
      </c>
    </row>
    <row r="42" spans="2:13" ht="18.75" thickBot="1">
      <c r="B42" s="1987"/>
      <c r="C42" s="12" t="s">
        <v>334</v>
      </c>
      <c r="D42" s="114"/>
      <c r="E42" s="115"/>
      <c r="F42" s="115">
        <f>IF(SUM(F34:F41)=0,"",SUM(F34:F41))</f>
        <v>134580.34</v>
      </c>
      <c r="G42" s="434">
        <f>IF(SUM(G34:G41)=0,"",SUM(G34:G41))</f>
        <v>1269.6258490566038</v>
      </c>
      <c r="H42" s="435">
        <v>106</v>
      </c>
      <c r="I42" s="115"/>
      <c r="J42" s="115"/>
      <c r="K42" s="115"/>
      <c r="L42" s="115"/>
      <c r="M42" s="115"/>
    </row>
    <row r="43" spans="2:13">
      <c r="B43" s="1985" t="s">
        <v>132</v>
      </c>
      <c r="C43" s="72" t="s">
        <v>624</v>
      </c>
      <c r="D43" s="276"/>
      <c r="E43" s="104"/>
      <c r="F43" s="104"/>
      <c r="G43" s="104"/>
      <c r="H43" s="104"/>
      <c r="I43" s="104"/>
      <c r="J43" s="104"/>
      <c r="K43" s="104"/>
      <c r="L43" s="104"/>
      <c r="M43" s="104"/>
    </row>
    <row r="44" spans="2:13">
      <c r="B44" s="1986"/>
      <c r="C44" s="73" t="s">
        <v>625</v>
      </c>
      <c r="D44" s="277"/>
      <c r="E44" s="96"/>
      <c r="F44" s="96"/>
      <c r="G44" s="96"/>
      <c r="H44" s="96"/>
      <c r="I44" s="96"/>
      <c r="J44" s="96"/>
      <c r="K44" s="96"/>
      <c r="L44" s="96"/>
      <c r="M44" s="96"/>
    </row>
    <row r="45" spans="2:13">
      <c r="B45" s="1986"/>
      <c r="C45" s="73" t="s">
        <v>626</v>
      </c>
      <c r="D45" s="277"/>
      <c r="E45" s="96"/>
      <c r="F45" s="96"/>
      <c r="G45" s="96"/>
      <c r="H45" s="96"/>
      <c r="I45" s="96"/>
      <c r="J45" s="96"/>
      <c r="K45" s="96"/>
      <c r="L45" s="96"/>
      <c r="M45" s="96"/>
    </row>
    <row r="46" spans="2:13">
      <c r="B46" s="1986"/>
      <c r="C46" s="73" t="s">
        <v>627</v>
      </c>
      <c r="D46" s="277"/>
      <c r="E46" s="96"/>
      <c r="F46" s="96"/>
      <c r="G46" s="96"/>
      <c r="H46" s="96"/>
      <c r="I46" s="96"/>
      <c r="J46" s="96"/>
      <c r="K46" s="96"/>
      <c r="L46" s="96"/>
      <c r="M46" s="96"/>
    </row>
    <row r="47" spans="2:13">
      <c r="B47" s="1986"/>
      <c r="C47" s="73" t="s">
        <v>628</v>
      </c>
      <c r="D47" s="277"/>
      <c r="E47" s="96"/>
      <c r="F47" s="96"/>
      <c r="G47" s="96"/>
      <c r="H47" s="96"/>
      <c r="I47" s="96"/>
      <c r="J47" s="96"/>
      <c r="K47" s="96"/>
      <c r="L47" s="96"/>
      <c r="M47" s="96"/>
    </row>
    <row r="48" spans="2:13">
      <c r="B48" s="1986"/>
      <c r="C48" s="73" t="s">
        <v>629</v>
      </c>
      <c r="D48" s="277"/>
      <c r="E48" s="96"/>
      <c r="F48" s="96"/>
      <c r="G48" s="96"/>
      <c r="H48" s="96"/>
      <c r="I48" s="96"/>
      <c r="J48" s="96"/>
      <c r="K48" s="96"/>
      <c r="L48" s="96"/>
      <c r="M48" s="96"/>
    </row>
    <row r="49" spans="2:13">
      <c r="B49" s="1986"/>
      <c r="C49" s="73" t="s">
        <v>630</v>
      </c>
      <c r="D49" s="277"/>
      <c r="E49" s="96"/>
      <c r="F49" s="96"/>
      <c r="G49" s="96"/>
      <c r="H49" s="96"/>
      <c r="I49" s="96"/>
      <c r="J49" s="96"/>
      <c r="K49" s="96"/>
      <c r="L49" s="96"/>
      <c r="M49" s="96"/>
    </row>
    <row r="50" spans="2:13" ht="18" customHeight="1">
      <c r="B50" s="1986"/>
      <c r="C50" s="87" t="s">
        <v>631</v>
      </c>
      <c r="D50" s="1843" t="s">
        <v>632</v>
      </c>
      <c r="E50" s="1844" t="s">
        <v>388</v>
      </c>
      <c r="F50" s="1844">
        <f>G50*H50</f>
        <v>84484.12</v>
      </c>
      <c r="G50" s="1844">
        <v>797.02</v>
      </c>
      <c r="H50" s="1844">
        <v>106</v>
      </c>
      <c r="I50" s="96"/>
      <c r="J50" s="96"/>
      <c r="K50" s="96"/>
      <c r="L50" s="96" t="s">
        <v>633</v>
      </c>
      <c r="M50" s="96" t="s">
        <v>634</v>
      </c>
    </row>
    <row r="51" spans="2:13" ht="18.75" thickBot="1">
      <c r="B51" s="1987"/>
      <c r="C51" s="12" t="s">
        <v>334</v>
      </c>
      <c r="D51" s="114"/>
      <c r="E51" s="115"/>
      <c r="F51" s="115">
        <f>IF(SUM(F43:F50)=0,"",SUM(F43:F50))</f>
        <v>84484.12</v>
      </c>
      <c r="G51" s="115">
        <f>IF(SUM(G43:G50)=0,"",SUM(G43:G50))</f>
        <v>797.02</v>
      </c>
      <c r="H51" s="115"/>
      <c r="I51" s="115"/>
      <c r="J51" s="115"/>
      <c r="K51" s="115"/>
      <c r="L51" s="115"/>
      <c r="M51" s="115"/>
    </row>
    <row r="52" spans="2:13">
      <c r="B52" s="1985" t="s">
        <v>134</v>
      </c>
      <c r="C52" s="72" t="s">
        <v>624</v>
      </c>
      <c r="D52" s="276"/>
      <c r="E52" s="104"/>
      <c r="F52" s="104"/>
      <c r="G52" s="104"/>
      <c r="H52" s="104"/>
      <c r="I52" s="104"/>
      <c r="J52" s="104"/>
      <c r="K52" s="104"/>
      <c r="L52" s="104"/>
      <c r="M52" s="104"/>
    </row>
    <row r="53" spans="2:13">
      <c r="B53" s="1986"/>
      <c r="C53" s="73" t="s">
        <v>625</v>
      </c>
      <c r="D53" s="277"/>
      <c r="E53" s="96"/>
      <c r="F53" s="96"/>
      <c r="G53" s="96"/>
      <c r="H53" s="96"/>
      <c r="I53" s="96"/>
      <c r="J53" s="96"/>
      <c r="K53" s="96"/>
      <c r="L53" s="96"/>
      <c r="M53" s="96"/>
    </row>
    <row r="54" spans="2:13">
      <c r="B54" s="1986"/>
      <c r="C54" s="73" t="s">
        <v>626</v>
      </c>
      <c r="D54" s="277"/>
      <c r="E54" s="96"/>
      <c r="F54" s="96"/>
      <c r="G54" s="96"/>
      <c r="H54" s="96"/>
      <c r="I54" s="96"/>
      <c r="J54" s="96"/>
      <c r="K54" s="96"/>
      <c r="L54" s="96"/>
      <c r="M54" s="96"/>
    </row>
    <row r="55" spans="2:13">
      <c r="B55" s="1986"/>
      <c r="C55" s="73" t="s">
        <v>627</v>
      </c>
      <c r="D55" s="277"/>
      <c r="E55" s="96"/>
      <c r="F55" s="96"/>
      <c r="G55" s="96"/>
      <c r="H55" s="96"/>
      <c r="I55" s="96"/>
      <c r="J55" s="96"/>
      <c r="K55" s="96"/>
      <c r="L55" s="96"/>
      <c r="M55" s="96"/>
    </row>
    <row r="56" spans="2:13">
      <c r="B56" s="1986"/>
      <c r="C56" s="73" t="s">
        <v>628</v>
      </c>
      <c r="D56" s="277"/>
      <c r="E56" s="96"/>
      <c r="F56" s="96"/>
      <c r="G56" s="96"/>
      <c r="H56" s="96"/>
      <c r="I56" s="96"/>
      <c r="J56" s="96"/>
      <c r="K56" s="96"/>
      <c r="L56" s="96"/>
      <c r="M56" s="96"/>
    </row>
    <row r="57" spans="2:13">
      <c r="B57" s="1986"/>
      <c r="C57" s="73" t="s">
        <v>629</v>
      </c>
      <c r="D57" s="277"/>
      <c r="E57" s="96"/>
      <c r="F57" s="96"/>
      <c r="G57" s="96"/>
      <c r="H57" s="96"/>
      <c r="I57" s="96"/>
      <c r="J57" s="96"/>
      <c r="K57" s="96"/>
      <c r="L57" s="96"/>
      <c r="M57" s="96"/>
    </row>
    <row r="58" spans="2:13">
      <c r="B58" s="1986"/>
      <c r="C58" s="73" t="s">
        <v>630</v>
      </c>
      <c r="D58" s="277"/>
      <c r="E58" s="96"/>
      <c r="F58" s="96"/>
      <c r="G58" s="96"/>
      <c r="H58" s="96"/>
      <c r="I58" s="96"/>
      <c r="J58" s="96"/>
      <c r="K58" s="96"/>
      <c r="L58" s="96"/>
      <c r="M58" s="96"/>
    </row>
    <row r="59" spans="2:13" ht="16.5" customHeight="1">
      <c r="B59" s="1986"/>
      <c r="C59" s="87" t="s">
        <v>631</v>
      </c>
      <c r="D59" s="1843" t="s">
        <v>632</v>
      </c>
      <c r="E59" s="1844" t="s">
        <v>388</v>
      </c>
      <c r="F59" s="1844">
        <f>G59*H59</f>
        <v>73995.42</v>
      </c>
      <c r="G59" s="1844">
        <v>698.07</v>
      </c>
      <c r="H59" s="1844">
        <v>106</v>
      </c>
      <c r="I59" s="96"/>
      <c r="J59" s="96"/>
      <c r="K59" s="96"/>
      <c r="L59" s="96" t="s">
        <v>633</v>
      </c>
      <c r="M59" s="96" t="s">
        <v>634</v>
      </c>
    </row>
    <row r="60" spans="2:13" ht="18">
      <c r="B60" s="1987"/>
      <c r="C60" s="12" t="s">
        <v>334</v>
      </c>
      <c r="D60" s="114"/>
      <c r="E60" s="115"/>
      <c r="F60" s="115">
        <f>IF(SUM(F52:F59)=0,"",SUM(F52:F59))</f>
        <v>73995.42</v>
      </c>
      <c r="G60" s="115">
        <f>IF(SUM(G52:G59)=0,"",SUM(G52:G59))</f>
        <v>698.07</v>
      </c>
      <c r="H60" s="115"/>
      <c r="I60" s="115"/>
      <c r="J60" s="115"/>
      <c r="K60" s="115"/>
      <c r="L60" s="115"/>
      <c r="M60" s="115"/>
    </row>
    <row r="61" spans="2:13">
      <c r="B61" s="1985" t="s">
        <v>136</v>
      </c>
      <c r="C61" s="72" t="s">
        <v>624</v>
      </c>
      <c r="D61" s="1848" t="s">
        <v>640</v>
      </c>
      <c r="E61" s="1849" t="s">
        <v>388</v>
      </c>
      <c r="F61" s="1849">
        <v>92000</v>
      </c>
      <c r="G61" s="1849">
        <v>863</v>
      </c>
      <c r="H61" s="1849">
        <v>106</v>
      </c>
      <c r="I61" s="104"/>
      <c r="J61" s="104"/>
      <c r="K61" s="104"/>
      <c r="L61" s="104" t="s">
        <v>641</v>
      </c>
      <c r="M61" s="104" t="s">
        <v>642</v>
      </c>
    </row>
    <row r="62" spans="2:13">
      <c r="B62" s="1986"/>
      <c r="C62" s="73" t="s">
        <v>625</v>
      </c>
      <c r="D62" s="1845" t="s">
        <v>388</v>
      </c>
      <c r="E62" s="1846" t="s">
        <v>388</v>
      </c>
      <c r="F62" s="1846" t="s">
        <v>388</v>
      </c>
      <c r="G62" s="1846" t="s">
        <v>388</v>
      </c>
      <c r="H62" s="1846" t="s">
        <v>388</v>
      </c>
      <c r="I62" s="96"/>
      <c r="J62" s="96"/>
      <c r="K62" s="96"/>
      <c r="L62" s="96"/>
      <c r="M62" s="96"/>
    </row>
    <row r="63" spans="2:13">
      <c r="B63" s="1986"/>
      <c r="C63" s="73" t="s">
        <v>626</v>
      </c>
      <c r="D63" s="1845" t="s">
        <v>388</v>
      </c>
      <c r="E63" s="1846" t="s">
        <v>388</v>
      </c>
      <c r="F63" s="1846" t="s">
        <v>388</v>
      </c>
      <c r="G63" s="1846" t="s">
        <v>388</v>
      </c>
      <c r="H63" s="1846" t="s">
        <v>388</v>
      </c>
      <c r="I63" s="96"/>
      <c r="J63" s="96"/>
      <c r="K63" s="96"/>
      <c r="L63" s="96"/>
      <c r="M63" s="96"/>
    </row>
    <row r="64" spans="2:13">
      <c r="B64" s="1986"/>
      <c r="C64" s="73" t="s">
        <v>627</v>
      </c>
      <c r="D64" s="1845" t="s">
        <v>388</v>
      </c>
      <c r="E64" s="1846" t="s">
        <v>388</v>
      </c>
      <c r="F64" s="1846" t="s">
        <v>388</v>
      </c>
      <c r="G64" s="1846" t="s">
        <v>388</v>
      </c>
      <c r="H64" s="1846" t="s">
        <v>388</v>
      </c>
      <c r="I64" s="96"/>
      <c r="J64" s="96"/>
      <c r="K64" s="96"/>
      <c r="L64" s="96"/>
      <c r="M64" s="96"/>
    </row>
    <row r="65" spans="2:13">
      <c r="B65" s="1986"/>
      <c r="C65" s="73" t="s">
        <v>628</v>
      </c>
      <c r="D65" s="1845" t="s">
        <v>388</v>
      </c>
      <c r="E65" s="1846" t="s">
        <v>388</v>
      </c>
      <c r="F65" s="1846" t="s">
        <v>388</v>
      </c>
      <c r="G65" s="1846" t="s">
        <v>388</v>
      </c>
      <c r="H65" s="1846" t="s">
        <v>388</v>
      </c>
      <c r="I65" s="96"/>
      <c r="J65" s="96"/>
      <c r="K65" s="96"/>
      <c r="L65" s="96"/>
      <c r="M65" s="96"/>
    </row>
    <row r="66" spans="2:13">
      <c r="B66" s="1986"/>
      <c r="C66" s="73" t="s">
        <v>629</v>
      </c>
      <c r="D66" s="1845" t="s">
        <v>388</v>
      </c>
      <c r="E66" s="1846" t="s">
        <v>388</v>
      </c>
      <c r="F66" s="1846" t="s">
        <v>388</v>
      </c>
      <c r="G66" s="1846" t="s">
        <v>388</v>
      </c>
      <c r="H66" s="1846" t="s">
        <v>388</v>
      </c>
      <c r="I66" s="96"/>
      <c r="J66" s="96"/>
      <c r="K66" s="96"/>
      <c r="L66" s="96"/>
      <c r="M66" s="96"/>
    </row>
    <row r="67" spans="2:13">
      <c r="B67" s="1986"/>
      <c r="C67" s="73" t="s">
        <v>630</v>
      </c>
      <c r="D67" s="1845" t="s">
        <v>388</v>
      </c>
      <c r="E67" s="1846" t="s">
        <v>388</v>
      </c>
      <c r="F67" s="1846" t="s">
        <v>388</v>
      </c>
      <c r="G67" s="1846" t="s">
        <v>388</v>
      </c>
      <c r="H67" s="1846" t="s">
        <v>388</v>
      </c>
      <c r="I67" s="96"/>
      <c r="J67" s="96"/>
      <c r="K67" s="96"/>
      <c r="L67" s="96"/>
      <c r="M67" s="96"/>
    </row>
    <row r="68" spans="2:13" ht="14.25" customHeight="1">
      <c r="B68" s="1986"/>
      <c r="C68" s="87" t="s">
        <v>631</v>
      </c>
      <c r="D68" s="1845" t="s">
        <v>632</v>
      </c>
      <c r="E68" s="1846" t="s">
        <v>388</v>
      </c>
      <c r="F68" s="1846">
        <f>G68*H68</f>
        <v>58917.98</v>
      </c>
      <c r="G68" s="1846">
        <v>555.83000000000004</v>
      </c>
      <c r="H68" s="1846">
        <v>106</v>
      </c>
      <c r="I68" s="96"/>
      <c r="J68" s="96"/>
      <c r="K68" s="96"/>
      <c r="L68" s="96" t="s">
        <v>633</v>
      </c>
      <c r="M68" s="96" t="s">
        <v>634</v>
      </c>
    </row>
    <row r="69" spans="2:13" ht="18">
      <c r="B69" s="1987"/>
      <c r="C69" s="12" t="s">
        <v>334</v>
      </c>
      <c r="D69" s="114"/>
      <c r="E69" s="115"/>
      <c r="F69" s="115">
        <f>IF(SUM(F61:F68)=0,"",SUM(F61:F68))</f>
        <v>150917.98000000001</v>
      </c>
      <c r="G69" s="115">
        <f>IF(SUM(G61:G68)=0,"",SUM(G61:G68))</f>
        <v>1418.83</v>
      </c>
      <c r="H69" s="115">
        <f>IF(SUM(H61:H68)=0,"",SUM(H61:H68))</f>
        <v>212</v>
      </c>
      <c r="I69" s="115"/>
      <c r="J69" s="115"/>
      <c r="K69" s="115"/>
      <c r="L69" s="115"/>
      <c r="M69" s="115"/>
    </row>
    <row r="70" spans="2:13">
      <c r="B70" s="1985" t="s">
        <v>138</v>
      </c>
      <c r="C70" s="72" t="s">
        <v>624</v>
      </c>
      <c r="D70" s="276"/>
      <c r="E70" s="104"/>
      <c r="F70" s="104"/>
      <c r="G70" s="104"/>
      <c r="H70" s="104"/>
      <c r="I70" s="104"/>
      <c r="J70" s="104"/>
      <c r="K70" s="104"/>
      <c r="L70" s="104"/>
      <c r="M70" s="104"/>
    </row>
    <row r="71" spans="2:13">
      <c r="B71" s="1986"/>
      <c r="C71" s="73" t="s">
        <v>625</v>
      </c>
      <c r="D71" s="277"/>
      <c r="E71" s="96"/>
      <c r="F71" s="96"/>
      <c r="G71" s="96"/>
      <c r="H71" s="96"/>
      <c r="I71" s="96"/>
      <c r="J71" s="96"/>
      <c r="K71" s="96"/>
      <c r="L71" s="96"/>
      <c r="M71" s="96"/>
    </row>
    <row r="72" spans="2:13">
      <c r="B72" s="1986"/>
      <c r="C72" s="73" t="s">
        <v>626</v>
      </c>
      <c r="D72" s="277"/>
      <c r="E72" s="96"/>
      <c r="F72" s="96"/>
      <c r="G72" s="96"/>
      <c r="H72" s="96"/>
      <c r="I72" s="96"/>
      <c r="J72" s="96"/>
      <c r="K72" s="96"/>
      <c r="L72" s="96"/>
      <c r="M72" s="96"/>
    </row>
    <row r="73" spans="2:13">
      <c r="B73" s="1986"/>
      <c r="C73" s="73" t="s">
        <v>627</v>
      </c>
      <c r="D73" s="277"/>
      <c r="E73" s="96"/>
      <c r="F73" s="96"/>
      <c r="G73" s="96"/>
      <c r="H73" s="96"/>
      <c r="I73" s="96"/>
      <c r="J73" s="96"/>
      <c r="K73" s="96"/>
      <c r="L73" s="96"/>
      <c r="M73" s="96"/>
    </row>
    <row r="74" spans="2:13">
      <c r="B74" s="1986"/>
      <c r="C74" s="73" t="s">
        <v>628</v>
      </c>
      <c r="D74" s="277"/>
      <c r="E74" s="96"/>
      <c r="F74" s="96"/>
      <c r="G74" s="96"/>
      <c r="H74" s="96"/>
      <c r="I74" s="96"/>
      <c r="J74" s="96"/>
      <c r="K74" s="96"/>
      <c r="L74" s="96"/>
      <c r="M74" s="96"/>
    </row>
    <row r="75" spans="2:13">
      <c r="B75" s="1986"/>
      <c r="C75" s="73" t="s">
        <v>629</v>
      </c>
      <c r="D75" s="277"/>
      <c r="E75" s="96"/>
      <c r="F75" s="96"/>
      <c r="G75" s="96"/>
      <c r="H75" s="96"/>
      <c r="I75" s="96"/>
      <c r="J75" s="96"/>
      <c r="K75" s="96"/>
      <c r="L75" s="96"/>
      <c r="M75" s="96"/>
    </row>
    <row r="76" spans="2:13">
      <c r="B76" s="1986"/>
      <c r="C76" s="73" t="s">
        <v>630</v>
      </c>
      <c r="D76" s="277"/>
      <c r="E76" s="96"/>
      <c r="F76" s="96"/>
      <c r="G76" s="96"/>
      <c r="H76" s="96"/>
      <c r="I76" s="96"/>
      <c r="J76" s="96"/>
      <c r="K76" s="96"/>
      <c r="L76" s="96"/>
      <c r="M76" s="96"/>
    </row>
    <row r="77" spans="2:13" ht="14.25" customHeight="1">
      <c r="B77" s="1986"/>
      <c r="C77" s="87" t="s">
        <v>631</v>
      </c>
      <c r="D77" s="1843" t="s">
        <v>632</v>
      </c>
      <c r="E77" s="1844" t="s">
        <v>388</v>
      </c>
      <c r="F77" s="1844">
        <f>G77*H77</f>
        <v>42128.9</v>
      </c>
      <c r="G77" s="1844">
        <v>382.99</v>
      </c>
      <c r="H77" s="1844">
        <v>110</v>
      </c>
      <c r="I77" s="96"/>
      <c r="J77" s="96"/>
      <c r="K77" s="96"/>
      <c r="L77" s="96" t="s">
        <v>633</v>
      </c>
      <c r="M77" s="96" t="s">
        <v>634</v>
      </c>
    </row>
    <row r="78" spans="2:13" ht="18">
      <c r="B78" s="1987"/>
      <c r="C78" s="12" t="s">
        <v>334</v>
      </c>
      <c r="D78" s="114"/>
      <c r="E78" s="115"/>
      <c r="F78" s="115">
        <f>IF(SUM(F70:F77)=0,"",SUM(F70:F77))</f>
        <v>42128.9</v>
      </c>
      <c r="G78" s="115">
        <f>IF(SUM(G70:G77)=0,"",SUM(G70:G77))</f>
        <v>382.99</v>
      </c>
      <c r="H78" s="115"/>
      <c r="I78" s="115"/>
      <c r="J78" s="115"/>
      <c r="K78" s="115"/>
      <c r="L78" s="115"/>
      <c r="M78" s="115"/>
    </row>
    <row r="79" spans="2:13">
      <c r="B79" s="1985" t="s">
        <v>139</v>
      </c>
      <c r="C79" s="72" t="s">
        <v>624</v>
      </c>
      <c r="D79" s="1848" t="s">
        <v>388</v>
      </c>
      <c r="E79" s="1849" t="s">
        <v>388</v>
      </c>
      <c r="F79" s="1849" t="s">
        <v>388</v>
      </c>
      <c r="G79" s="1849" t="s">
        <v>388</v>
      </c>
      <c r="H79" s="1849" t="s">
        <v>388</v>
      </c>
      <c r="I79" s="1849" t="s">
        <v>388</v>
      </c>
      <c r="J79" s="1849" t="s">
        <v>388</v>
      </c>
      <c r="K79" s="104"/>
      <c r="L79" s="104"/>
      <c r="M79" s="104"/>
    </row>
    <row r="80" spans="2:13">
      <c r="B80" s="1986"/>
      <c r="C80" s="73" t="s">
        <v>625</v>
      </c>
      <c r="D80" s="1845" t="s">
        <v>388</v>
      </c>
      <c r="E80" s="1846" t="s">
        <v>388</v>
      </c>
      <c r="F80" s="1846" t="s">
        <v>388</v>
      </c>
      <c r="G80" s="1846" t="s">
        <v>388</v>
      </c>
      <c r="H80" s="1846" t="s">
        <v>388</v>
      </c>
      <c r="I80" s="1846" t="s">
        <v>388</v>
      </c>
      <c r="J80" s="1846" t="s">
        <v>388</v>
      </c>
      <c r="K80" s="96"/>
      <c r="L80" s="96"/>
      <c r="M80" s="96"/>
    </row>
    <row r="81" spans="2:13">
      <c r="B81" s="1986"/>
      <c r="C81" s="73" t="s">
        <v>626</v>
      </c>
      <c r="D81" s="1845" t="s">
        <v>643</v>
      </c>
      <c r="E81" s="1846">
        <v>3400004016</v>
      </c>
      <c r="F81" s="1846">
        <v>262315</v>
      </c>
      <c r="G81" s="1850">
        <f>F81/H81</f>
        <v>2384.681818181818</v>
      </c>
      <c r="H81" s="1846">
        <v>110</v>
      </c>
      <c r="I81" s="1846" t="s">
        <v>388</v>
      </c>
      <c r="J81" s="1846">
        <v>5000080707</v>
      </c>
      <c r="K81" s="96"/>
      <c r="L81" s="480">
        <v>693264</v>
      </c>
      <c r="M81" s="96"/>
    </row>
    <row r="82" spans="2:13">
      <c r="B82" s="1986"/>
      <c r="C82" s="73" t="s">
        <v>627</v>
      </c>
      <c r="D82" s="1845" t="s">
        <v>388</v>
      </c>
      <c r="E82" s="1846" t="s">
        <v>388</v>
      </c>
      <c r="F82" s="1846" t="s">
        <v>388</v>
      </c>
      <c r="G82" s="1846" t="s">
        <v>388</v>
      </c>
      <c r="H82" s="1846" t="s">
        <v>388</v>
      </c>
      <c r="I82" s="1846" t="s">
        <v>388</v>
      </c>
      <c r="J82" s="1846" t="s">
        <v>388</v>
      </c>
      <c r="K82" s="96"/>
      <c r="L82" s="96"/>
      <c r="M82" s="96"/>
    </row>
    <row r="83" spans="2:13">
      <c r="B83" s="1986"/>
      <c r="C83" s="73" t="s">
        <v>628</v>
      </c>
      <c r="D83" s="1845" t="s">
        <v>388</v>
      </c>
      <c r="E83" s="1846" t="s">
        <v>388</v>
      </c>
      <c r="F83" s="1846" t="s">
        <v>388</v>
      </c>
      <c r="G83" s="1846" t="s">
        <v>388</v>
      </c>
      <c r="H83" s="1846" t="s">
        <v>388</v>
      </c>
      <c r="I83" s="1846" t="s">
        <v>388</v>
      </c>
      <c r="J83" s="1846" t="s">
        <v>388</v>
      </c>
      <c r="K83" s="96"/>
      <c r="L83" s="96"/>
      <c r="M83" s="96"/>
    </row>
    <row r="84" spans="2:13">
      <c r="B84" s="1986"/>
      <c r="C84" s="73" t="s">
        <v>629</v>
      </c>
      <c r="D84" s="1845" t="s">
        <v>388</v>
      </c>
      <c r="E84" s="1846" t="s">
        <v>388</v>
      </c>
      <c r="F84" s="1846" t="s">
        <v>388</v>
      </c>
      <c r="G84" s="1846" t="s">
        <v>388</v>
      </c>
      <c r="H84" s="1846" t="s">
        <v>388</v>
      </c>
      <c r="I84" s="1846" t="s">
        <v>388</v>
      </c>
      <c r="J84" s="1846" t="s">
        <v>388</v>
      </c>
      <c r="K84" s="96"/>
      <c r="L84" s="96"/>
      <c r="M84" s="96"/>
    </row>
    <row r="85" spans="2:13">
      <c r="B85" s="1986"/>
      <c r="C85" s="73" t="s">
        <v>630</v>
      </c>
      <c r="D85" s="1845" t="s">
        <v>388</v>
      </c>
      <c r="E85" s="1846" t="s">
        <v>388</v>
      </c>
      <c r="F85" s="1846" t="s">
        <v>388</v>
      </c>
      <c r="G85" s="1846" t="s">
        <v>388</v>
      </c>
      <c r="H85" s="1846" t="s">
        <v>388</v>
      </c>
      <c r="I85" s="1846" t="s">
        <v>388</v>
      </c>
      <c r="J85" s="1846" t="s">
        <v>388</v>
      </c>
      <c r="K85" s="96"/>
      <c r="L85" s="96"/>
      <c r="M85" s="96"/>
    </row>
    <row r="86" spans="2:13" ht="33">
      <c r="B86" s="1986"/>
      <c r="C86" s="87" t="s">
        <v>631</v>
      </c>
      <c r="D86" s="1845" t="s">
        <v>632</v>
      </c>
      <c r="E86" s="1846" t="s">
        <v>388</v>
      </c>
      <c r="F86" s="1846">
        <f>G86*H86</f>
        <v>62471.199999999997</v>
      </c>
      <c r="G86" s="1846">
        <v>567.91999999999996</v>
      </c>
      <c r="H86" s="1846">
        <v>110</v>
      </c>
      <c r="I86" s="1846" t="s">
        <v>388</v>
      </c>
      <c r="J86" s="1846" t="s">
        <v>388</v>
      </c>
      <c r="K86" s="96"/>
      <c r="L86" s="96" t="s">
        <v>633</v>
      </c>
      <c r="M86" s="96" t="s">
        <v>634</v>
      </c>
    </row>
    <row r="87" spans="2:13" ht="18">
      <c r="B87" s="1987"/>
      <c r="C87" s="12" t="s">
        <v>334</v>
      </c>
      <c r="D87" s="114"/>
      <c r="E87" s="115"/>
      <c r="F87" s="115">
        <f>IF(SUM(F79:F86)=0,"",SUM(F79:F86))</f>
        <v>324786.2</v>
      </c>
      <c r="G87" s="481">
        <f>IF(SUM(G79:G86)=0,"",SUM(G79:G86))</f>
        <v>2952.6018181818181</v>
      </c>
      <c r="H87" s="115"/>
      <c r="I87" s="115"/>
      <c r="J87" s="115"/>
      <c r="K87" s="115"/>
      <c r="L87" s="115"/>
      <c r="M87" s="115"/>
    </row>
    <row r="88" spans="2:13">
      <c r="B88" s="1985" t="s">
        <v>140</v>
      </c>
      <c r="C88" s="72" t="s">
        <v>624</v>
      </c>
      <c r="D88" s="276"/>
      <c r="E88" s="104"/>
      <c r="F88" s="104"/>
      <c r="G88" s="104"/>
      <c r="H88" s="104"/>
      <c r="I88" s="104"/>
      <c r="J88" s="104"/>
      <c r="K88" s="104"/>
      <c r="L88" s="104"/>
      <c r="M88" s="104"/>
    </row>
    <row r="89" spans="2:13">
      <c r="B89" s="1986"/>
      <c r="C89" s="73" t="s">
        <v>625</v>
      </c>
      <c r="D89" s="277"/>
      <c r="E89" s="96"/>
      <c r="F89" s="96"/>
      <c r="G89" s="96"/>
      <c r="H89" s="96"/>
      <c r="I89" s="96"/>
      <c r="J89" s="96"/>
      <c r="K89" s="96"/>
      <c r="L89" s="96"/>
      <c r="M89" s="96"/>
    </row>
    <row r="90" spans="2:13">
      <c r="B90" s="1986"/>
      <c r="C90" s="73" t="s">
        <v>626</v>
      </c>
      <c r="D90" s="277"/>
      <c r="E90" s="96"/>
      <c r="F90" s="96"/>
      <c r="G90" s="96"/>
      <c r="H90" s="96"/>
      <c r="I90" s="96"/>
      <c r="J90" s="96"/>
      <c r="K90" s="96"/>
      <c r="L90" s="96"/>
      <c r="M90" s="96"/>
    </row>
    <row r="91" spans="2:13">
      <c r="B91" s="1986"/>
      <c r="C91" s="73" t="s">
        <v>627</v>
      </c>
      <c r="D91" s="277"/>
      <c r="E91" s="96"/>
      <c r="F91" s="96"/>
      <c r="G91" s="96"/>
      <c r="H91" s="96"/>
      <c r="I91" s="96"/>
      <c r="J91" s="96"/>
      <c r="K91" s="96"/>
      <c r="L91" s="96"/>
      <c r="M91" s="96"/>
    </row>
    <row r="92" spans="2:13">
      <c r="B92" s="1986"/>
      <c r="C92" s="73" t="s">
        <v>628</v>
      </c>
      <c r="D92" s="277"/>
      <c r="E92" s="96"/>
      <c r="F92" s="96"/>
      <c r="G92" s="96"/>
      <c r="H92" s="96"/>
      <c r="I92" s="96"/>
      <c r="J92" s="96"/>
      <c r="K92" s="96"/>
      <c r="L92" s="96"/>
      <c r="M92" s="96"/>
    </row>
    <row r="93" spans="2:13">
      <c r="B93" s="1986"/>
      <c r="C93" s="73" t="s">
        <v>629</v>
      </c>
      <c r="D93" s="277"/>
      <c r="E93" s="96"/>
      <c r="F93" s="96"/>
      <c r="G93" s="96"/>
      <c r="H93" s="96"/>
      <c r="I93" s="96"/>
      <c r="J93" s="96"/>
      <c r="K93" s="96"/>
      <c r="L93" s="96"/>
      <c r="M93" s="96"/>
    </row>
    <row r="94" spans="2:13">
      <c r="B94" s="1986"/>
      <c r="C94" s="73" t="s">
        <v>630</v>
      </c>
      <c r="D94" s="277"/>
      <c r="E94" s="96"/>
      <c r="F94" s="96"/>
      <c r="G94" s="96"/>
      <c r="H94" s="96"/>
      <c r="I94" s="96"/>
      <c r="J94" s="96"/>
      <c r="K94" s="96"/>
      <c r="L94" s="96"/>
      <c r="M94" s="96"/>
    </row>
    <row r="95" spans="2:13" ht="20.25" customHeight="1">
      <c r="B95" s="1986"/>
      <c r="C95" s="87" t="s">
        <v>631</v>
      </c>
      <c r="D95" s="1843" t="s">
        <v>632</v>
      </c>
      <c r="E95" s="1844" t="s">
        <v>388</v>
      </c>
      <c r="F95" s="1844">
        <f>G95*H95</f>
        <v>62264.399999999994</v>
      </c>
      <c r="G95" s="1844">
        <v>566.04</v>
      </c>
      <c r="H95" s="1844">
        <v>110</v>
      </c>
      <c r="I95" s="97"/>
      <c r="J95" s="97"/>
      <c r="K95" s="97"/>
      <c r="L95" s="96" t="s">
        <v>633</v>
      </c>
      <c r="M95" s="96" t="s">
        <v>634</v>
      </c>
    </row>
    <row r="96" spans="2:13" ht="18.75" thickBot="1">
      <c r="B96" s="1987"/>
      <c r="C96" s="12" t="s">
        <v>334</v>
      </c>
      <c r="D96" s="114"/>
      <c r="E96" s="115"/>
      <c r="F96" s="115">
        <f>IF(SUM(F88:F95)=0,"",SUM(F88:F95))</f>
        <v>62264.399999999994</v>
      </c>
      <c r="G96" s="115">
        <f>IF(SUM(G88:G95)=0,"",SUM(G88:G95))</f>
        <v>566.04</v>
      </c>
      <c r="H96" s="115"/>
      <c r="I96" s="115"/>
      <c r="J96" s="115"/>
      <c r="K96" s="115"/>
      <c r="L96" s="115"/>
      <c r="M96" s="115"/>
    </row>
    <row r="97" spans="2:13">
      <c r="B97" s="1985" t="s">
        <v>142</v>
      </c>
      <c r="C97" s="72" t="s">
        <v>624</v>
      </c>
      <c r="D97" s="276"/>
      <c r="E97" s="104"/>
      <c r="F97" s="104"/>
      <c r="G97" s="104"/>
      <c r="H97" s="104"/>
      <c r="I97" s="104"/>
      <c r="J97" s="104"/>
      <c r="K97" s="104"/>
      <c r="L97" s="104"/>
      <c r="M97" s="104"/>
    </row>
    <row r="98" spans="2:13">
      <c r="B98" s="1986"/>
      <c r="C98" s="73" t="s">
        <v>625</v>
      </c>
      <c r="D98" s="277"/>
      <c r="E98" s="96"/>
      <c r="F98" s="96"/>
      <c r="G98" s="96"/>
      <c r="H98" s="96"/>
      <c r="I98" s="96"/>
      <c r="J98" s="96"/>
      <c r="K98" s="96"/>
      <c r="L98" s="96"/>
      <c r="M98" s="96"/>
    </row>
    <row r="99" spans="2:13">
      <c r="B99" s="1986"/>
      <c r="C99" s="73" t="s">
        <v>626</v>
      </c>
      <c r="D99" s="277"/>
      <c r="E99" s="96"/>
      <c r="F99" s="96"/>
      <c r="G99" s="96"/>
      <c r="H99" s="96"/>
      <c r="I99" s="96"/>
      <c r="J99" s="96"/>
      <c r="K99" s="96"/>
      <c r="L99" s="96"/>
      <c r="M99" s="96"/>
    </row>
    <row r="100" spans="2:13">
      <c r="B100" s="1986"/>
      <c r="C100" s="73" t="s">
        <v>627</v>
      </c>
      <c r="D100" s="277"/>
      <c r="E100" s="96"/>
      <c r="F100" s="96"/>
      <c r="G100" s="96"/>
      <c r="H100" s="96"/>
      <c r="I100" s="96"/>
      <c r="J100" s="96"/>
      <c r="K100" s="96"/>
      <c r="L100" s="96"/>
      <c r="M100" s="96"/>
    </row>
    <row r="101" spans="2:13">
      <c r="B101" s="1986"/>
      <c r="C101" s="73" t="s">
        <v>628</v>
      </c>
      <c r="D101" s="277"/>
      <c r="E101" s="96"/>
      <c r="F101" s="96"/>
      <c r="G101" s="96"/>
      <c r="H101" s="96"/>
      <c r="I101" s="96"/>
      <c r="J101" s="96"/>
      <c r="K101" s="96"/>
      <c r="L101" s="96"/>
      <c r="M101" s="96"/>
    </row>
    <row r="102" spans="2:13">
      <c r="B102" s="1986"/>
      <c r="C102" s="73" t="s">
        <v>629</v>
      </c>
      <c r="D102" s="277"/>
      <c r="E102" s="96"/>
      <c r="F102" s="96"/>
      <c r="G102" s="96"/>
      <c r="H102" s="96"/>
      <c r="I102" s="96"/>
      <c r="J102" s="96"/>
      <c r="K102" s="96"/>
      <c r="L102" s="96"/>
      <c r="M102" s="96"/>
    </row>
    <row r="103" spans="2:13">
      <c r="B103" s="1986"/>
      <c r="C103" s="73" t="s">
        <v>630</v>
      </c>
      <c r="D103" s="277"/>
      <c r="E103" s="96"/>
      <c r="F103" s="96"/>
      <c r="G103" s="96"/>
      <c r="H103" s="96"/>
      <c r="I103" s="96"/>
      <c r="J103" s="96"/>
      <c r="K103" s="96"/>
      <c r="L103" s="96"/>
      <c r="M103" s="96"/>
    </row>
    <row r="104" spans="2:13" ht="33">
      <c r="B104" s="1986"/>
      <c r="C104" s="87" t="s">
        <v>631</v>
      </c>
      <c r="D104" s="1843" t="s">
        <v>632</v>
      </c>
      <c r="E104" s="1844" t="s">
        <v>388</v>
      </c>
      <c r="F104" s="1844">
        <f>G104*H104</f>
        <v>70950</v>
      </c>
      <c r="G104" s="1844">
        <v>645</v>
      </c>
      <c r="H104" s="1844">
        <v>110</v>
      </c>
      <c r="I104" s="96"/>
      <c r="J104" s="96"/>
      <c r="K104" s="96"/>
      <c r="L104" s="96" t="s">
        <v>633</v>
      </c>
      <c r="M104" s="96" t="s">
        <v>634</v>
      </c>
    </row>
    <row r="105" spans="2:13" ht="18.75" thickBot="1">
      <c r="B105" s="1987"/>
      <c r="C105" s="12" t="s">
        <v>334</v>
      </c>
      <c r="D105" s="114"/>
      <c r="E105" s="115"/>
      <c r="F105" s="115">
        <f>IF(SUM(F97:F104)=0,"",SUM(F97:F104))</f>
        <v>70950</v>
      </c>
      <c r="G105" s="115">
        <f>IF(SUM(G97:G104)=0,"",SUM(G97:G104))</f>
        <v>645</v>
      </c>
      <c r="H105" s="115"/>
      <c r="I105" s="115"/>
      <c r="J105" s="115"/>
      <c r="K105" s="115"/>
      <c r="L105" s="115"/>
      <c r="M105" s="115"/>
    </row>
    <row r="106" spans="2:13">
      <c r="B106" s="1985" t="s">
        <v>144</v>
      </c>
      <c r="C106" s="72" t="s">
        <v>624</v>
      </c>
      <c r="D106" s="276"/>
      <c r="E106" s="104"/>
      <c r="F106" s="104"/>
      <c r="G106" s="104"/>
      <c r="H106" s="104"/>
      <c r="I106" s="104"/>
      <c r="J106" s="104"/>
      <c r="K106" s="104"/>
      <c r="L106" s="104"/>
      <c r="M106" s="104"/>
    </row>
    <row r="107" spans="2:13">
      <c r="B107" s="1986"/>
      <c r="C107" s="73" t="s">
        <v>625</v>
      </c>
      <c r="D107" s="277"/>
      <c r="E107" s="96"/>
      <c r="F107" s="96"/>
      <c r="G107" s="96"/>
      <c r="H107" s="96"/>
      <c r="I107" s="96"/>
      <c r="J107" s="96"/>
      <c r="K107" s="96"/>
      <c r="L107" s="96"/>
      <c r="M107" s="96"/>
    </row>
    <row r="108" spans="2:13">
      <c r="B108" s="1986"/>
      <c r="C108" s="73" t="s">
        <v>626</v>
      </c>
      <c r="D108" s="277"/>
      <c r="E108" s="96"/>
      <c r="F108" s="96"/>
      <c r="G108" s="96"/>
      <c r="H108" s="96"/>
      <c r="I108" s="96"/>
      <c r="J108" s="96"/>
      <c r="K108" s="96"/>
      <c r="L108" s="96"/>
      <c r="M108" s="96"/>
    </row>
    <row r="109" spans="2:13">
      <c r="B109" s="1986"/>
      <c r="C109" s="73" t="s">
        <v>627</v>
      </c>
      <c r="D109" s="277"/>
      <c r="E109" s="96"/>
      <c r="F109" s="96"/>
      <c r="G109" s="96"/>
      <c r="H109" s="96"/>
      <c r="I109" s="96"/>
      <c r="J109" s="96"/>
      <c r="K109" s="96"/>
      <c r="L109" s="96"/>
      <c r="M109" s="96"/>
    </row>
    <row r="110" spans="2:13">
      <c r="B110" s="1986"/>
      <c r="C110" s="73" t="s">
        <v>628</v>
      </c>
      <c r="D110" s="277"/>
      <c r="E110" s="96"/>
      <c r="F110" s="96"/>
      <c r="G110" s="96"/>
      <c r="H110" s="96"/>
      <c r="I110" s="96"/>
      <c r="J110" s="96"/>
      <c r="K110" s="96"/>
      <c r="L110" s="96"/>
      <c r="M110" s="96"/>
    </row>
    <row r="111" spans="2:13">
      <c r="B111" s="1986"/>
      <c r="C111" s="73" t="s">
        <v>629</v>
      </c>
      <c r="D111" s="277"/>
      <c r="E111" s="96"/>
      <c r="F111" s="96"/>
      <c r="G111" s="96"/>
      <c r="H111" s="96"/>
      <c r="I111" s="96"/>
      <c r="J111" s="96"/>
      <c r="K111" s="96"/>
      <c r="L111" s="96"/>
      <c r="M111" s="96"/>
    </row>
    <row r="112" spans="2:13">
      <c r="B112" s="1986"/>
      <c r="C112" s="73" t="s">
        <v>630</v>
      </c>
      <c r="D112" s="277"/>
      <c r="E112" s="96"/>
      <c r="F112" s="96"/>
      <c r="G112" s="96"/>
      <c r="H112" s="96"/>
      <c r="I112" s="96"/>
      <c r="J112" s="96"/>
      <c r="K112" s="96"/>
      <c r="L112" s="96"/>
      <c r="M112" s="96"/>
    </row>
    <row r="113" spans="1:13" ht="20.25" customHeight="1">
      <c r="B113" s="1986"/>
      <c r="C113" s="87" t="s">
        <v>631</v>
      </c>
      <c r="D113" s="1843" t="s">
        <v>632</v>
      </c>
      <c r="E113" s="1844" t="s">
        <v>388</v>
      </c>
      <c r="F113" s="1847">
        <f>G113*H113</f>
        <v>65439</v>
      </c>
      <c r="G113" s="1844">
        <v>594.9</v>
      </c>
      <c r="H113" s="1844">
        <v>110</v>
      </c>
      <c r="I113" s="96"/>
      <c r="J113" s="96"/>
      <c r="K113" s="96"/>
      <c r="L113" s="96" t="s">
        <v>633</v>
      </c>
      <c r="M113" s="96" t="s">
        <v>634</v>
      </c>
    </row>
    <row r="114" spans="1:13" ht="18.75" thickBot="1">
      <c r="B114" s="1987"/>
      <c r="C114" s="12" t="s">
        <v>334</v>
      </c>
      <c r="D114" s="114"/>
      <c r="E114" s="115"/>
      <c r="F114" s="115">
        <f>IF(SUM(F106:F113)=0,"",SUM(F106:F113))</f>
        <v>65439</v>
      </c>
      <c r="G114" s="115">
        <f>IF(SUM(G106:G113)=0,"",SUM(G106:G113))</f>
        <v>594.9</v>
      </c>
      <c r="H114" s="115"/>
      <c r="I114" s="115"/>
      <c r="J114" s="115"/>
      <c r="K114" s="115"/>
      <c r="L114" s="115"/>
      <c r="M114" s="115"/>
    </row>
    <row r="121" spans="1:13" ht="21.75" thickBot="1">
      <c r="A121" s="1933">
        <v>2024</v>
      </c>
      <c r="B121" s="2044" t="s">
        <v>255</v>
      </c>
      <c r="C121" s="2044"/>
      <c r="D121" s="2044"/>
      <c r="E121" s="2044"/>
      <c r="F121" s="2044"/>
      <c r="G121" s="2044"/>
      <c r="H121" s="2044"/>
      <c r="I121" s="2044"/>
      <c r="J121" s="2044"/>
      <c r="K121" s="2044"/>
      <c r="L121" s="2044"/>
      <c r="M121" s="2044"/>
    </row>
    <row r="122" spans="1:13" ht="18.75" thickBot="1">
      <c r="A122" s="1933"/>
      <c r="B122" s="63" t="s">
        <v>121</v>
      </c>
      <c r="C122" s="63" t="s">
        <v>613</v>
      </c>
      <c r="D122" s="68" t="s">
        <v>614</v>
      </c>
      <c r="E122" s="63" t="s">
        <v>615</v>
      </c>
      <c r="F122" s="63" t="s">
        <v>616</v>
      </c>
      <c r="G122" s="63" t="s">
        <v>617</v>
      </c>
      <c r="H122" s="63" t="s">
        <v>618</v>
      </c>
      <c r="I122" s="63" t="s">
        <v>619</v>
      </c>
      <c r="J122" s="63" t="s">
        <v>620</v>
      </c>
      <c r="K122" s="68" t="s">
        <v>621</v>
      </c>
      <c r="L122" s="63" t="s">
        <v>622</v>
      </c>
      <c r="M122" s="63" t="s">
        <v>623</v>
      </c>
    </row>
    <row r="123" spans="1:13">
      <c r="B123" s="1985" t="s">
        <v>127</v>
      </c>
      <c r="C123" s="72" t="s">
        <v>624</v>
      </c>
      <c r="D123" s="276"/>
      <c r="E123" s="104"/>
      <c r="F123" s="104"/>
      <c r="G123" s="104"/>
      <c r="H123" s="104"/>
      <c r="I123" s="104"/>
      <c r="J123" s="104"/>
      <c r="K123" s="104"/>
      <c r="L123" s="104"/>
      <c r="M123" s="104"/>
    </row>
    <row r="124" spans="1:13">
      <c r="A124" s="880" t="s">
        <v>338</v>
      </c>
      <c r="B124" s="1986"/>
      <c r="C124" s="73" t="s">
        <v>625</v>
      </c>
      <c r="D124" s="277"/>
      <c r="E124" s="96"/>
      <c r="F124" s="96"/>
      <c r="G124" s="96"/>
      <c r="H124" s="96"/>
      <c r="I124" s="96"/>
      <c r="J124" s="96"/>
      <c r="K124" s="96"/>
      <c r="L124" s="96"/>
      <c r="M124" s="96"/>
    </row>
    <row r="125" spans="1:13">
      <c r="A125" s="882" t="s">
        <v>255</v>
      </c>
      <c r="B125" s="1986"/>
      <c r="C125" s="73" t="s">
        <v>626</v>
      </c>
      <c r="D125" s="277"/>
      <c r="E125" s="96"/>
      <c r="F125" s="96"/>
      <c r="G125" s="96"/>
      <c r="H125" s="96"/>
      <c r="I125" s="96"/>
      <c r="J125" s="96"/>
      <c r="K125" s="96"/>
      <c r="L125" s="96"/>
      <c r="M125" s="96"/>
    </row>
    <row r="126" spans="1:13">
      <c r="A126" t="s">
        <v>81</v>
      </c>
      <c r="B126" s="1986"/>
      <c r="C126" s="73" t="s">
        <v>627</v>
      </c>
      <c r="D126" s="277"/>
      <c r="E126" s="96"/>
      <c r="F126" s="96"/>
      <c r="G126" s="96"/>
      <c r="H126" s="96"/>
      <c r="I126" s="96"/>
      <c r="J126" s="96"/>
      <c r="K126" s="96"/>
      <c r="L126" s="96"/>
      <c r="M126" s="96"/>
    </row>
    <row r="127" spans="1:13">
      <c r="B127" s="1986"/>
      <c r="C127" s="73" t="s">
        <v>628</v>
      </c>
      <c r="D127" s="277"/>
      <c r="E127" s="96"/>
      <c r="F127" s="96"/>
      <c r="G127" s="96"/>
      <c r="H127" s="96"/>
      <c r="I127" s="96"/>
      <c r="J127" s="96"/>
      <c r="K127" s="96"/>
      <c r="L127" s="96"/>
      <c r="M127" s="96"/>
    </row>
    <row r="128" spans="1:13">
      <c r="B128" s="1986"/>
      <c r="C128" s="73" t="s">
        <v>629</v>
      </c>
      <c r="D128" s="277"/>
      <c r="E128" s="96"/>
      <c r="F128" s="96"/>
      <c r="G128" s="96"/>
      <c r="H128" s="96"/>
      <c r="I128" s="96"/>
      <c r="J128" s="96"/>
      <c r="K128" s="96"/>
      <c r="L128" s="96"/>
      <c r="M128" s="96"/>
    </row>
    <row r="129" spans="2:13">
      <c r="B129" s="1986"/>
      <c r="C129" s="73" t="s">
        <v>630</v>
      </c>
      <c r="D129" s="277"/>
      <c r="E129" s="96"/>
      <c r="F129" s="96"/>
      <c r="G129" s="96"/>
      <c r="H129" s="96"/>
      <c r="I129" s="96"/>
      <c r="J129" s="96"/>
      <c r="K129" s="96"/>
      <c r="L129" s="96"/>
      <c r="M129" s="96"/>
    </row>
    <row r="130" spans="2:13" ht="17.25" thickBot="1">
      <c r="B130" s="1986"/>
      <c r="C130" s="87" t="s">
        <v>631</v>
      </c>
      <c r="D130" s="277"/>
      <c r="E130" s="96"/>
      <c r="F130" s="96"/>
      <c r="G130" s="96"/>
      <c r="H130" s="96"/>
      <c r="I130" s="96"/>
      <c r="J130" s="96"/>
      <c r="K130" s="96"/>
      <c r="L130" s="96"/>
      <c r="M130" s="96"/>
    </row>
    <row r="131" spans="2:13" ht="18.75" thickBot="1">
      <c r="B131" s="1987"/>
      <c r="C131" s="12" t="s">
        <v>334</v>
      </c>
      <c r="D131" s="114"/>
      <c r="E131" s="115"/>
      <c r="F131" s="115" t="str">
        <f>IF(SUM(F123:F130)=0,"",SUM(F123:F130))</f>
        <v/>
      </c>
      <c r="G131" s="115" t="str">
        <f>IF(SUM(G123:G130)=0,"",SUM(G123:G130))</f>
        <v/>
      </c>
      <c r="H131" s="115" t="str">
        <f>IF(SUM(H123:H130)=0,"",SUM(H123:H130))</f>
        <v/>
      </c>
      <c r="I131" s="115"/>
      <c r="J131" s="115"/>
      <c r="K131" s="115"/>
      <c r="L131" s="115"/>
      <c r="M131" s="115"/>
    </row>
    <row r="132" spans="2:13">
      <c r="B132" s="1985" t="s">
        <v>635</v>
      </c>
      <c r="C132" s="72" t="s">
        <v>624</v>
      </c>
      <c r="D132" s="276"/>
      <c r="E132" s="104"/>
      <c r="F132" s="104"/>
      <c r="G132" s="104"/>
      <c r="H132" s="104"/>
      <c r="I132" s="104"/>
      <c r="J132" s="104"/>
      <c r="K132" s="104"/>
      <c r="L132" s="104"/>
      <c r="M132" s="104"/>
    </row>
    <row r="133" spans="2:13">
      <c r="B133" s="1986"/>
      <c r="C133" s="73" t="s">
        <v>625</v>
      </c>
      <c r="D133" s="277"/>
      <c r="E133" s="96"/>
      <c r="F133" s="96"/>
      <c r="G133" s="96"/>
      <c r="H133" s="96"/>
      <c r="I133" s="96"/>
      <c r="J133" s="96"/>
      <c r="K133" s="96"/>
      <c r="L133" s="96"/>
      <c r="M133" s="96"/>
    </row>
    <row r="134" spans="2:13">
      <c r="B134" s="1986"/>
      <c r="C134" s="73" t="s">
        <v>626</v>
      </c>
      <c r="D134" s="277"/>
      <c r="E134" s="96"/>
      <c r="F134" s="96"/>
      <c r="G134" s="96"/>
      <c r="H134" s="96"/>
      <c r="I134" s="96"/>
      <c r="J134" s="96"/>
      <c r="K134" s="96"/>
      <c r="L134" s="96"/>
      <c r="M134" s="96"/>
    </row>
    <row r="135" spans="2:13">
      <c r="B135" s="1986"/>
      <c r="C135" s="73" t="s">
        <v>627</v>
      </c>
      <c r="D135" s="277"/>
      <c r="E135" s="96"/>
      <c r="F135" s="96"/>
      <c r="G135" s="96"/>
      <c r="H135" s="96"/>
      <c r="I135" s="96"/>
      <c r="J135" s="96"/>
      <c r="K135" s="96"/>
      <c r="L135" s="96"/>
      <c r="M135" s="96"/>
    </row>
    <row r="136" spans="2:13">
      <c r="B136" s="1986"/>
      <c r="C136" s="73" t="s">
        <v>628</v>
      </c>
      <c r="D136" s="277"/>
      <c r="E136" s="96"/>
      <c r="F136" s="96"/>
      <c r="G136" s="96"/>
      <c r="H136" s="96"/>
      <c r="I136" s="96"/>
      <c r="J136" s="96"/>
      <c r="K136" s="96"/>
      <c r="L136" s="96"/>
      <c r="M136" s="96"/>
    </row>
    <row r="137" spans="2:13">
      <c r="B137" s="1986"/>
      <c r="C137" s="73" t="s">
        <v>629</v>
      </c>
      <c r="D137" s="277"/>
      <c r="E137" s="96"/>
      <c r="F137" s="96"/>
      <c r="G137" s="96"/>
      <c r="H137" s="96"/>
      <c r="I137" s="96"/>
      <c r="J137" s="96"/>
      <c r="K137" s="96"/>
      <c r="L137" s="96"/>
      <c r="M137" s="96"/>
    </row>
    <row r="138" spans="2:13">
      <c r="B138" s="1986"/>
      <c r="C138" s="73" t="s">
        <v>630</v>
      </c>
      <c r="D138" s="277"/>
      <c r="E138" s="96"/>
      <c r="F138" s="96"/>
      <c r="G138" s="96"/>
      <c r="H138" s="96"/>
      <c r="I138" s="96"/>
      <c r="J138" s="96"/>
      <c r="K138" s="96"/>
      <c r="L138" s="96"/>
      <c r="M138" s="96"/>
    </row>
    <row r="139" spans="2:13" ht="17.25" thickBot="1">
      <c r="B139" s="1986"/>
      <c r="C139" s="87" t="s">
        <v>631</v>
      </c>
      <c r="D139" s="277"/>
      <c r="E139" s="96"/>
      <c r="F139" s="96"/>
      <c r="G139" s="96"/>
      <c r="H139" s="96"/>
      <c r="I139" s="96"/>
      <c r="J139" s="96"/>
      <c r="K139" s="96"/>
      <c r="L139" s="96"/>
      <c r="M139" s="96"/>
    </row>
    <row r="140" spans="2:13" ht="18.75" thickBot="1">
      <c r="B140" s="1987"/>
      <c r="C140" s="12" t="s">
        <v>334</v>
      </c>
      <c r="D140" s="114"/>
      <c r="E140" s="115"/>
      <c r="F140" s="115" t="str">
        <f>IF(SUM(F132:F139)=0,"",SUM(F132:F139))</f>
        <v/>
      </c>
      <c r="G140" s="115" t="str">
        <f>IF(SUM(G132:G139)=0,"",SUM(G132:G139))</f>
        <v/>
      </c>
      <c r="H140" s="115" t="str">
        <f>IF(SUM(H132:H139)=0,"",SUM(H132:H139))</f>
        <v/>
      </c>
      <c r="I140" s="115"/>
      <c r="J140" s="115"/>
      <c r="K140" s="115"/>
      <c r="L140" s="115"/>
      <c r="M140" s="115"/>
    </row>
    <row r="141" spans="2:13">
      <c r="B141" s="1986" t="s">
        <v>129</v>
      </c>
      <c r="C141" s="72" t="s">
        <v>624</v>
      </c>
      <c r="D141" s="277"/>
      <c r="E141" s="96"/>
      <c r="F141" s="96"/>
      <c r="G141" s="96"/>
      <c r="H141" s="96"/>
      <c r="I141" s="96"/>
      <c r="J141" s="96"/>
      <c r="K141" s="96"/>
      <c r="L141" s="96"/>
      <c r="M141" s="96"/>
    </row>
    <row r="142" spans="2:13">
      <c r="B142" s="1986"/>
      <c r="C142" s="73" t="s">
        <v>625</v>
      </c>
      <c r="D142" s="277"/>
      <c r="E142" s="96"/>
      <c r="F142" s="431"/>
      <c r="G142" s="432"/>
      <c r="H142" s="431"/>
      <c r="I142" s="96"/>
      <c r="J142" s="431"/>
      <c r="K142" s="96"/>
      <c r="L142" s="431"/>
      <c r="M142" s="431"/>
    </row>
    <row r="143" spans="2:13">
      <c r="B143" s="1986"/>
      <c r="C143" s="73" t="s">
        <v>626</v>
      </c>
      <c r="D143" s="277"/>
      <c r="E143" s="96"/>
      <c r="F143" s="96"/>
      <c r="G143" s="96"/>
      <c r="H143" s="96"/>
      <c r="I143" s="96"/>
      <c r="J143" s="96"/>
      <c r="K143" s="96"/>
      <c r="L143" s="96"/>
      <c r="M143" s="96"/>
    </row>
    <row r="144" spans="2:13">
      <c r="B144" s="1986"/>
      <c r="C144" s="73" t="s">
        <v>627</v>
      </c>
      <c r="D144" s="277"/>
      <c r="E144" s="96"/>
      <c r="F144" s="96"/>
      <c r="G144" s="96"/>
      <c r="H144" s="96"/>
      <c r="I144" s="96"/>
      <c r="J144" s="96"/>
      <c r="K144" s="96"/>
      <c r="L144" s="96"/>
      <c r="M144" s="96"/>
    </row>
    <row r="145" spans="2:13">
      <c r="B145" s="1986"/>
      <c r="C145" s="73" t="s">
        <v>628</v>
      </c>
      <c r="D145" s="277"/>
      <c r="E145" s="96"/>
      <c r="F145" s="96"/>
      <c r="G145" s="96"/>
      <c r="H145" s="96"/>
      <c r="I145" s="96"/>
      <c r="J145" s="96"/>
      <c r="K145" s="96"/>
      <c r="L145" s="96"/>
      <c r="M145" s="96"/>
    </row>
    <row r="146" spans="2:13">
      <c r="B146" s="1986"/>
      <c r="C146" s="73" t="s">
        <v>629</v>
      </c>
      <c r="D146" s="277"/>
      <c r="E146" s="96"/>
      <c r="F146" s="96"/>
      <c r="G146" s="96"/>
      <c r="H146" s="96"/>
      <c r="I146" s="96"/>
      <c r="J146" s="96"/>
      <c r="K146" s="96"/>
      <c r="L146" s="96"/>
      <c r="M146" s="96"/>
    </row>
    <row r="147" spans="2:13">
      <c r="B147" s="1986"/>
      <c r="C147" s="73" t="s">
        <v>630</v>
      </c>
      <c r="D147" s="277"/>
      <c r="E147" s="96"/>
      <c r="F147" s="96"/>
      <c r="G147" s="96"/>
      <c r="H147" s="96"/>
      <c r="I147" s="96"/>
      <c r="J147" s="96"/>
      <c r="K147" s="96"/>
      <c r="L147" s="96"/>
      <c r="M147" s="96"/>
    </row>
    <row r="148" spans="2:13" ht="17.25" thickBot="1">
      <c r="B148" s="1986"/>
      <c r="C148" s="87" t="s">
        <v>631</v>
      </c>
      <c r="D148" s="277"/>
      <c r="E148" s="96"/>
      <c r="F148" s="96"/>
      <c r="G148" s="96"/>
      <c r="H148" s="96"/>
      <c r="I148" s="96"/>
      <c r="J148" s="96"/>
      <c r="K148" s="96"/>
      <c r="L148" s="96"/>
      <c r="M148" s="96"/>
    </row>
    <row r="149" spans="2:13" ht="18.75" thickBot="1">
      <c r="B149" s="1987"/>
      <c r="C149" s="12" t="s">
        <v>334</v>
      </c>
      <c r="D149" s="114"/>
      <c r="E149" s="115"/>
      <c r="F149" s="115" t="str">
        <f>IF(SUM(F141:F148)=0,"",SUM(F141:F148))</f>
        <v/>
      </c>
      <c r="G149" s="434" t="str">
        <f>IF(SUM(G141:G148)=0,"",SUM(G141:G148))</f>
        <v/>
      </c>
      <c r="H149" s="434" t="str">
        <f>IF(SUM(H141:H148)=0,"",SUM(H141:H148))</f>
        <v/>
      </c>
      <c r="I149" s="115"/>
      <c r="J149" s="115"/>
      <c r="K149" s="115"/>
      <c r="L149" s="115"/>
      <c r="M149" s="115"/>
    </row>
    <row r="150" spans="2:13">
      <c r="B150" s="1985" t="s">
        <v>130</v>
      </c>
      <c r="C150" s="72" t="s">
        <v>624</v>
      </c>
      <c r="D150" s="276"/>
      <c r="E150" s="104"/>
      <c r="F150" s="104"/>
      <c r="G150" s="104"/>
      <c r="H150" s="104"/>
      <c r="I150" s="104"/>
      <c r="J150" s="104"/>
      <c r="K150" s="104"/>
      <c r="L150" s="104"/>
      <c r="M150" s="104"/>
    </row>
    <row r="151" spans="2:13">
      <c r="B151" s="1986"/>
      <c r="C151" s="73" t="s">
        <v>625</v>
      </c>
      <c r="D151" s="277"/>
      <c r="E151" s="96"/>
      <c r="F151" s="431"/>
      <c r="G151" s="432"/>
      <c r="H151" s="431"/>
      <c r="I151" s="96"/>
      <c r="J151" s="431"/>
      <c r="K151" s="96"/>
      <c r="L151" s="431"/>
      <c r="M151" s="431"/>
    </row>
    <row r="152" spans="2:13">
      <c r="B152" s="1986"/>
      <c r="C152" s="73" t="s">
        <v>626</v>
      </c>
      <c r="D152" s="277"/>
      <c r="E152" s="96"/>
      <c r="F152" s="96"/>
      <c r="G152" s="96"/>
      <c r="H152" s="96"/>
      <c r="I152" s="96"/>
      <c r="J152" s="96"/>
      <c r="K152" s="96"/>
      <c r="L152" s="96"/>
      <c r="M152" s="96"/>
    </row>
    <row r="153" spans="2:13">
      <c r="B153" s="1986"/>
      <c r="C153" s="73" t="s">
        <v>627</v>
      </c>
      <c r="D153" s="277"/>
      <c r="E153" s="96"/>
      <c r="F153" s="96"/>
      <c r="G153" s="96"/>
      <c r="H153" s="96"/>
      <c r="I153" s="96"/>
      <c r="J153" s="96"/>
      <c r="K153" s="96"/>
      <c r="L153" s="96"/>
      <c r="M153" s="96"/>
    </row>
    <row r="154" spans="2:13">
      <c r="B154" s="1986"/>
      <c r="C154" s="73" t="s">
        <v>628</v>
      </c>
      <c r="D154" s="277"/>
      <c r="E154" s="96"/>
      <c r="F154" s="96"/>
      <c r="G154" s="96"/>
      <c r="H154" s="96"/>
      <c r="I154" s="96"/>
      <c r="J154" s="96"/>
      <c r="K154" s="96"/>
      <c r="L154" s="96"/>
      <c r="M154" s="96"/>
    </row>
    <row r="155" spans="2:13">
      <c r="B155" s="1986"/>
      <c r="C155" s="73" t="s">
        <v>629</v>
      </c>
      <c r="D155" s="277"/>
      <c r="E155" s="96"/>
      <c r="F155" s="96"/>
      <c r="G155" s="96"/>
      <c r="H155" s="96"/>
      <c r="I155" s="96"/>
      <c r="J155" s="96"/>
      <c r="K155" s="96"/>
      <c r="L155" s="96"/>
      <c r="M155" s="96"/>
    </row>
    <row r="156" spans="2:13">
      <c r="B156" s="1986"/>
      <c r="C156" s="73" t="s">
        <v>630</v>
      </c>
      <c r="D156" s="277"/>
      <c r="E156" s="96"/>
      <c r="F156" s="96"/>
      <c r="G156" s="96"/>
      <c r="H156" s="96"/>
      <c r="I156" s="96"/>
      <c r="J156" s="96"/>
      <c r="K156" s="96"/>
      <c r="L156" s="96"/>
      <c r="M156" s="96"/>
    </row>
    <row r="157" spans="2:13" ht="17.25" thickBot="1">
      <c r="B157" s="1986"/>
      <c r="C157" s="87" t="s">
        <v>631</v>
      </c>
      <c r="D157" s="277"/>
      <c r="E157" s="96"/>
      <c r="F157" s="96"/>
      <c r="G157" s="96"/>
      <c r="H157" s="96"/>
      <c r="I157" s="96"/>
      <c r="J157" s="96"/>
      <c r="K157" s="96"/>
      <c r="L157" s="96"/>
      <c r="M157" s="96"/>
    </row>
    <row r="158" spans="2:13" ht="18.75" thickBot="1">
      <c r="B158" s="1987"/>
      <c r="C158" s="12" t="s">
        <v>334</v>
      </c>
      <c r="D158" s="114"/>
      <c r="E158" s="115"/>
      <c r="F158" s="115" t="str">
        <f>IF(SUM(F150:F157)=0,"",SUM(F150:F157))</f>
        <v/>
      </c>
      <c r="G158" s="434" t="str">
        <f>IF(SUM(G150:G157)=0,"",SUM(G150:G157))</f>
        <v/>
      </c>
      <c r="H158" s="434" t="str">
        <f>IF(SUM(H150:H157)=0,"",SUM(H150:H157))</f>
        <v/>
      </c>
      <c r="I158" s="115"/>
      <c r="J158" s="115"/>
      <c r="K158" s="115"/>
      <c r="L158" s="115"/>
      <c r="M158" s="115"/>
    </row>
    <row r="159" spans="2:13">
      <c r="B159" s="1985" t="s">
        <v>132</v>
      </c>
      <c r="C159" s="72" t="s">
        <v>624</v>
      </c>
      <c r="D159" s="276"/>
      <c r="E159" s="104"/>
      <c r="F159" s="104"/>
      <c r="G159" s="104"/>
      <c r="H159" s="104"/>
      <c r="I159" s="104"/>
      <c r="J159" s="104"/>
      <c r="K159" s="104"/>
      <c r="L159" s="104"/>
      <c r="M159" s="104"/>
    </row>
    <row r="160" spans="2:13">
      <c r="B160" s="1986"/>
      <c r="C160" s="73" t="s">
        <v>625</v>
      </c>
      <c r="D160" s="277"/>
      <c r="E160" s="96"/>
      <c r="F160" s="96"/>
      <c r="G160" s="96"/>
      <c r="H160" s="96"/>
      <c r="I160" s="96"/>
      <c r="J160" s="96"/>
      <c r="K160" s="96"/>
      <c r="L160" s="96"/>
      <c r="M160" s="96"/>
    </row>
    <row r="161" spans="2:13">
      <c r="B161" s="1986"/>
      <c r="C161" s="73" t="s">
        <v>626</v>
      </c>
      <c r="D161" s="277"/>
      <c r="E161" s="96"/>
      <c r="F161" s="96"/>
      <c r="G161" s="96"/>
      <c r="H161" s="96"/>
      <c r="I161" s="96"/>
      <c r="J161" s="96"/>
      <c r="K161" s="96"/>
      <c r="L161" s="96"/>
      <c r="M161" s="96"/>
    </row>
    <row r="162" spans="2:13">
      <c r="B162" s="1986"/>
      <c r="C162" s="73" t="s">
        <v>627</v>
      </c>
      <c r="D162" s="277"/>
      <c r="E162" s="96"/>
      <c r="F162" s="96"/>
      <c r="G162" s="96"/>
      <c r="H162" s="96"/>
      <c r="I162" s="96"/>
      <c r="J162" s="96"/>
      <c r="K162" s="96"/>
      <c r="L162" s="96"/>
      <c r="M162" s="96"/>
    </row>
    <row r="163" spans="2:13">
      <c r="B163" s="1986"/>
      <c r="C163" s="73" t="s">
        <v>628</v>
      </c>
      <c r="D163" s="277"/>
      <c r="E163" s="96"/>
      <c r="F163" s="96"/>
      <c r="G163" s="96"/>
      <c r="H163" s="96"/>
      <c r="I163" s="96"/>
      <c r="J163" s="96"/>
      <c r="K163" s="96"/>
      <c r="L163" s="96"/>
      <c r="M163" s="96"/>
    </row>
    <row r="164" spans="2:13">
      <c r="B164" s="1986"/>
      <c r="C164" s="73" t="s">
        <v>629</v>
      </c>
      <c r="D164" s="277"/>
      <c r="E164" s="96"/>
      <c r="F164" s="96"/>
      <c r="G164" s="96"/>
      <c r="H164" s="96"/>
      <c r="I164" s="96"/>
      <c r="J164" s="96"/>
      <c r="K164" s="96"/>
      <c r="L164" s="96"/>
      <c r="M164" s="96"/>
    </row>
    <row r="165" spans="2:13">
      <c r="B165" s="1986"/>
      <c r="C165" s="73" t="s">
        <v>630</v>
      </c>
      <c r="D165" s="277"/>
      <c r="E165" s="96"/>
      <c r="F165" s="96"/>
      <c r="G165" s="96"/>
      <c r="H165" s="96"/>
      <c r="I165" s="96"/>
      <c r="J165" s="96"/>
      <c r="K165" s="96"/>
      <c r="L165" s="96"/>
      <c r="M165" s="96"/>
    </row>
    <row r="166" spans="2:13" ht="17.25" thickBot="1">
      <c r="B166" s="1986"/>
      <c r="C166" s="87" t="s">
        <v>631</v>
      </c>
      <c r="D166" s="277"/>
      <c r="E166" s="96"/>
      <c r="F166" s="96"/>
      <c r="G166" s="96"/>
      <c r="H166" s="96"/>
      <c r="I166" s="96"/>
      <c r="J166" s="96"/>
      <c r="K166" s="96"/>
      <c r="L166" s="96"/>
      <c r="M166" s="96"/>
    </row>
    <row r="167" spans="2:13" ht="18.75" thickBot="1">
      <c r="B167" s="1987"/>
      <c r="C167" s="12" t="s">
        <v>334</v>
      </c>
      <c r="D167" s="114"/>
      <c r="E167" s="115"/>
      <c r="F167" s="115" t="str">
        <f>IF(SUM(F159:F166)=0,"",SUM(F159:F166))</f>
        <v/>
      </c>
      <c r="G167" s="434" t="str">
        <f>IF(SUM(G159:G166)=0,"",SUM(G159:G166))</f>
        <v/>
      </c>
      <c r="H167" s="434" t="str">
        <f>IF(SUM(H159:H166)=0,"",SUM(H159:H166))</f>
        <v/>
      </c>
      <c r="I167" s="115"/>
      <c r="J167" s="115"/>
      <c r="K167" s="115"/>
      <c r="L167" s="115"/>
      <c r="M167" s="115"/>
    </row>
    <row r="168" spans="2:13">
      <c r="B168" s="1985" t="s">
        <v>134</v>
      </c>
      <c r="C168" s="72" t="s">
        <v>624</v>
      </c>
      <c r="D168" s="276"/>
      <c r="E168" s="104"/>
      <c r="F168" s="104"/>
      <c r="G168" s="104"/>
      <c r="H168" s="104"/>
      <c r="I168" s="104"/>
      <c r="J168" s="104"/>
      <c r="K168" s="104"/>
      <c r="L168" s="104"/>
      <c r="M168" s="104"/>
    </row>
    <row r="169" spans="2:13">
      <c r="B169" s="1986"/>
      <c r="C169" s="73" t="s">
        <v>625</v>
      </c>
      <c r="D169" s="277"/>
      <c r="E169" s="96"/>
      <c r="F169" s="96"/>
      <c r="G169" s="96"/>
      <c r="H169" s="96"/>
      <c r="I169" s="96"/>
      <c r="J169" s="96"/>
      <c r="K169" s="96"/>
      <c r="L169" s="96"/>
      <c r="M169" s="96"/>
    </row>
    <row r="170" spans="2:13">
      <c r="B170" s="1986"/>
      <c r="C170" s="73" t="s">
        <v>626</v>
      </c>
      <c r="D170" s="277"/>
      <c r="E170" s="96"/>
      <c r="F170" s="96"/>
      <c r="G170" s="96"/>
      <c r="H170" s="96"/>
      <c r="I170" s="96"/>
      <c r="J170" s="96"/>
      <c r="K170" s="96"/>
      <c r="L170" s="96"/>
      <c r="M170" s="96"/>
    </row>
    <row r="171" spans="2:13">
      <c r="B171" s="1986"/>
      <c r="C171" s="73" t="s">
        <v>627</v>
      </c>
      <c r="D171" s="277"/>
      <c r="E171" s="96"/>
      <c r="F171" s="96"/>
      <c r="G171" s="96"/>
      <c r="H171" s="96"/>
      <c r="I171" s="96"/>
      <c r="J171" s="96"/>
      <c r="K171" s="96"/>
      <c r="L171" s="96"/>
      <c r="M171" s="96"/>
    </row>
    <row r="172" spans="2:13">
      <c r="B172" s="1986"/>
      <c r="C172" s="73" t="s">
        <v>628</v>
      </c>
      <c r="D172" s="277"/>
      <c r="E172" s="96"/>
      <c r="F172" s="96"/>
      <c r="G172" s="96"/>
      <c r="H172" s="96"/>
      <c r="I172" s="96"/>
      <c r="J172" s="96"/>
      <c r="K172" s="96"/>
      <c r="L172" s="96"/>
      <c r="M172" s="96"/>
    </row>
    <row r="173" spans="2:13">
      <c r="B173" s="1986"/>
      <c r="C173" s="73" t="s">
        <v>629</v>
      </c>
      <c r="D173" s="277"/>
      <c r="E173" s="96"/>
      <c r="F173" s="96"/>
      <c r="G173" s="96"/>
      <c r="H173" s="96"/>
      <c r="I173" s="96"/>
      <c r="J173" s="96"/>
      <c r="K173" s="96"/>
      <c r="L173" s="96"/>
      <c r="M173" s="96"/>
    </row>
    <row r="174" spans="2:13">
      <c r="B174" s="1986"/>
      <c r="C174" s="73" t="s">
        <v>630</v>
      </c>
      <c r="D174" s="277"/>
      <c r="E174" s="96"/>
      <c r="F174" s="96"/>
      <c r="G174" s="96"/>
      <c r="H174" s="96"/>
      <c r="I174" s="96"/>
      <c r="J174" s="96"/>
      <c r="K174" s="96"/>
      <c r="L174" s="96"/>
      <c r="M174" s="96"/>
    </row>
    <row r="175" spans="2:13" ht="17.25" thickBot="1">
      <c r="B175" s="1986"/>
      <c r="C175" s="87" t="s">
        <v>631</v>
      </c>
      <c r="D175" s="277"/>
      <c r="E175" s="96"/>
      <c r="F175" s="96"/>
      <c r="G175" s="96"/>
      <c r="H175" s="96"/>
      <c r="I175" s="96"/>
      <c r="J175" s="96"/>
      <c r="K175" s="96"/>
      <c r="L175" s="96"/>
      <c r="M175" s="96"/>
    </row>
    <row r="176" spans="2:13" ht="18.75" thickBot="1">
      <c r="B176" s="1987"/>
      <c r="C176" s="12" t="s">
        <v>334</v>
      </c>
      <c r="D176" s="114"/>
      <c r="E176" s="115"/>
      <c r="F176" s="115" t="str">
        <f>IF(SUM(F168:F175)=0,"",SUM(F168:F175))</f>
        <v/>
      </c>
      <c r="G176" s="434" t="str">
        <f>IF(SUM(G168:G175)=0,"",SUM(G168:G175))</f>
        <v/>
      </c>
      <c r="H176" s="434" t="str">
        <f>IF(SUM(H168:H175)=0,"",SUM(H168:H175))</f>
        <v/>
      </c>
      <c r="I176" s="115"/>
      <c r="J176" s="115"/>
      <c r="K176" s="115"/>
      <c r="L176" s="115"/>
      <c r="M176" s="115"/>
    </row>
    <row r="177" spans="2:13">
      <c r="B177" s="1985" t="s">
        <v>136</v>
      </c>
      <c r="C177" s="72" t="s">
        <v>624</v>
      </c>
      <c r="D177" s="276"/>
      <c r="E177" s="104"/>
      <c r="F177" s="104"/>
      <c r="G177" s="104"/>
      <c r="H177" s="104"/>
      <c r="I177" s="104"/>
      <c r="J177" s="104"/>
      <c r="K177" s="104"/>
      <c r="L177" s="104"/>
      <c r="M177" s="104"/>
    </row>
    <row r="178" spans="2:13">
      <c r="B178" s="1986"/>
      <c r="C178" s="73" t="s">
        <v>625</v>
      </c>
      <c r="D178" s="277"/>
      <c r="E178" s="96"/>
      <c r="F178" s="96"/>
      <c r="G178" s="96"/>
      <c r="H178" s="96"/>
      <c r="I178" s="96"/>
      <c r="J178" s="96"/>
      <c r="K178" s="96"/>
      <c r="L178" s="96"/>
      <c r="M178" s="96"/>
    </row>
    <row r="179" spans="2:13">
      <c r="B179" s="1986"/>
      <c r="C179" s="73" t="s">
        <v>626</v>
      </c>
      <c r="D179" s="277"/>
      <c r="E179" s="96"/>
      <c r="F179" s="96"/>
      <c r="G179" s="96"/>
      <c r="H179" s="96"/>
      <c r="I179" s="96"/>
      <c r="J179" s="96"/>
      <c r="K179" s="96"/>
      <c r="L179" s="96"/>
      <c r="M179" s="96"/>
    </row>
    <row r="180" spans="2:13">
      <c r="B180" s="1986"/>
      <c r="C180" s="73" t="s">
        <v>627</v>
      </c>
      <c r="D180" s="277"/>
      <c r="E180" s="96"/>
      <c r="F180" s="96"/>
      <c r="G180" s="96"/>
      <c r="H180" s="96"/>
      <c r="I180" s="96"/>
      <c r="J180" s="96"/>
      <c r="K180" s="96"/>
      <c r="L180" s="96"/>
      <c r="M180" s="96"/>
    </row>
    <row r="181" spans="2:13">
      <c r="B181" s="1986"/>
      <c r="C181" s="73" t="s">
        <v>628</v>
      </c>
      <c r="D181" s="277"/>
      <c r="E181" s="96"/>
      <c r="F181" s="96"/>
      <c r="G181" s="96"/>
      <c r="H181" s="96"/>
      <c r="I181" s="96"/>
      <c r="J181" s="96"/>
      <c r="K181" s="96"/>
      <c r="L181" s="96"/>
      <c r="M181" s="96"/>
    </row>
    <row r="182" spans="2:13">
      <c r="B182" s="1986"/>
      <c r="C182" s="73" t="s">
        <v>629</v>
      </c>
      <c r="D182" s="277"/>
      <c r="E182" s="96"/>
      <c r="F182" s="96"/>
      <c r="G182" s="96"/>
      <c r="H182" s="96"/>
      <c r="I182" s="96"/>
      <c r="J182" s="96"/>
      <c r="K182" s="96"/>
      <c r="L182" s="96"/>
      <c r="M182" s="96"/>
    </row>
    <row r="183" spans="2:13">
      <c r="B183" s="1986"/>
      <c r="C183" s="73" t="s">
        <v>630</v>
      </c>
      <c r="D183" s="277"/>
      <c r="E183" s="96"/>
      <c r="F183" s="96"/>
      <c r="G183" s="96"/>
      <c r="H183" s="96"/>
      <c r="I183" s="96"/>
      <c r="J183" s="96"/>
      <c r="K183" s="96"/>
      <c r="L183" s="96"/>
      <c r="M183" s="96"/>
    </row>
    <row r="184" spans="2:13" ht="17.25" thickBot="1">
      <c r="B184" s="1986"/>
      <c r="C184" s="87" t="s">
        <v>631</v>
      </c>
      <c r="D184" s="277"/>
      <c r="E184" s="96"/>
      <c r="F184" s="96"/>
      <c r="G184" s="96"/>
      <c r="H184" s="96"/>
      <c r="I184" s="96"/>
      <c r="J184" s="96"/>
      <c r="K184" s="96"/>
      <c r="L184" s="96"/>
      <c r="M184" s="96"/>
    </row>
    <row r="185" spans="2:13" ht="18.75" thickBot="1">
      <c r="B185" s="1987"/>
      <c r="C185" s="12" t="s">
        <v>334</v>
      </c>
      <c r="D185" s="114"/>
      <c r="E185" s="115"/>
      <c r="F185" s="115" t="str">
        <f>IF(SUM(F177:F184)=0,"",SUM(F177:F184))</f>
        <v/>
      </c>
      <c r="G185" s="434" t="str">
        <f>IF(SUM(G177:G184)=0,"",SUM(G177:G184))</f>
        <v/>
      </c>
      <c r="H185" s="434" t="str">
        <f>IF(SUM(H177:H184)=0,"",SUM(H177:H184))</f>
        <v/>
      </c>
      <c r="I185" s="115"/>
      <c r="J185" s="115"/>
      <c r="K185" s="115"/>
      <c r="L185" s="115"/>
      <c r="M185" s="115"/>
    </row>
    <row r="186" spans="2:13">
      <c r="B186" s="1985" t="s">
        <v>138</v>
      </c>
      <c r="C186" s="72" t="s">
        <v>624</v>
      </c>
      <c r="D186" s="276"/>
      <c r="E186" s="104"/>
      <c r="F186" s="104"/>
      <c r="G186" s="104"/>
      <c r="H186" s="104"/>
      <c r="I186" s="104"/>
      <c r="J186" s="104"/>
      <c r="K186" s="104"/>
      <c r="L186" s="104"/>
      <c r="M186" s="104"/>
    </row>
    <row r="187" spans="2:13">
      <c r="B187" s="1986"/>
      <c r="C187" s="73" t="s">
        <v>625</v>
      </c>
      <c r="D187" s="277"/>
      <c r="E187" s="96"/>
      <c r="F187" s="96"/>
      <c r="G187" s="96"/>
      <c r="H187" s="96"/>
      <c r="I187" s="96"/>
      <c r="J187" s="96"/>
      <c r="K187" s="96"/>
      <c r="L187" s="96"/>
      <c r="M187" s="96"/>
    </row>
    <row r="188" spans="2:13">
      <c r="B188" s="1986"/>
      <c r="C188" s="73" t="s">
        <v>626</v>
      </c>
      <c r="D188" s="277"/>
      <c r="E188" s="96"/>
      <c r="F188" s="96"/>
      <c r="G188" s="96"/>
      <c r="H188" s="96"/>
      <c r="I188" s="96"/>
      <c r="J188" s="96"/>
      <c r="K188" s="96"/>
      <c r="L188" s="96"/>
      <c r="M188" s="96"/>
    </row>
    <row r="189" spans="2:13">
      <c r="B189" s="1986"/>
      <c r="C189" s="73" t="s">
        <v>627</v>
      </c>
      <c r="D189" s="277"/>
      <c r="E189" s="96"/>
      <c r="F189" s="96"/>
      <c r="G189" s="96"/>
      <c r="H189" s="96"/>
      <c r="I189" s="96"/>
      <c r="J189" s="96"/>
      <c r="K189" s="96"/>
      <c r="L189" s="96"/>
      <c r="M189" s="96"/>
    </row>
    <row r="190" spans="2:13">
      <c r="B190" s="1986"/>
      <c r="C190" s="73" t="s">
        <v>628</v>
      </c>
      <c r="D190" s="277"/>
      <c r="E190" s="96"/>
      <c r="F190" s="96"/>
      <c r="G190" s="96"/>
      <c r="H190" s="96"/>
      <c r="I190" s="96"/>
      <c r="J190" s="96"/>
      <c r="K190" s="96"/>
      <c r="L190" s="96"/>
      <c r="M190" s="96"/>
    </row>
    <row r="191" spans="2:13">
      <c r="B191" s="1986"/>
      <c r="C191" s="73" t="s">
        <v>629</v>
      </c>
      <c r="D191" s="277"/>
      <c r="E191" s="96"/>
      <c r="F191" s="96"/>
      <c r="G191" s="96"/>
      <c r="H191" s="96"/>
      <c r="I191" s="96"/>
      <c r="J191" s="96"/>
      <c r="K191" s="96"/>
      <c r="L191" s="96"/>
      <c r="M191" s="96"/>
    </row>
    <row r="192" spans="2:13">
      <c r="B192" s="1986"/>
      <c r="C192" s="73" t="s">
        <v>630</v>
      </c>
      <c r="D192" s="277"/>
      <c r="E192" s="96"/>
      <c r="F192" s="96"/>
      <c r="G192" s="96"/>
      <c r="H192" s="96"/>
      <c r="I192" s="96"/>
      <c r="J192" s="96"/>
      <c r="K192" s="96"/>
      <c r="L192" s="96"/>
      <c r="M192" s="96"/>
    </row>
    <row r="193" spans="2:13" ht="17.25" thickBot="1">
      <c r="B193" s="1986"/>
      <c r="C193" s="87" t="s">
        <v>631</v>
      </c>
      <c r="D193" s="277"/>
      <c r="E193" s="96"/>
      <c r="F193" s="96"/>
      <c r="G193" s="96"/>
      <c r="H193" s="96"/>
      <c r="I193" s="96"/>
      <c r="J193" s="96"/>
      <c r="K193" s="96"/>
      <c r="L193" s="96"/>
      <c r="M193" s="96"/>
    </row>
    <row r="194" spans="2:13" ht="18.75" thickBot="1">
      <c r="B194" s="1987"/>
      <c r="C194" s="12" t="s">
        <v>334</v>
      </c>
      <c r="D194" s="114"/>
      <c r="E194" s="115"/>
      <c r="F194" s="115" t="str">
        <f>IF(SUM(F186:F193)=0,"",SUM(F186:F193))</f>
        <v/>
      </c>
      <c r="G194" s="434" t="str">
        <f>IF(SUM(G186:G193)=0,"",SUM(G186:G193))</f>
        <v/>
      </c>
      <c r="H194" s="434" t="str">
        <f>IF(SUM(H186:H193)=0,"",SUM(H186:H193))</f>
        <v/>
      </c>
      <c r="I194" s="115"/>
      <c r="J194" s="115"/>
      <c r="K194" s="115"/>
      <c r="L194" s="115"/>
      <c r="M194" s="115"/>
    </row>
    <row r="195" spans="2:13">
      <c r="B195" s="1985" t="s">
        <v>139</v>
      </c>
      <c r="C195" s="72" t="s">
        <v>624</v>
      </c>
      <c r="D195" s="276"/>
      <c r="E195" s="104"/>
      <c r="F195" s="104"/>
      <c r="G195" s="104"/>
      <c r="H195" s="104"/>
      <c r="I195" s="104"/>
      <c r="J195" s="104"/>
      <c r="K195" s="104"/>
      <c r="L195" s="104"/>
      <c r="M195" s="104"/>
    </row>
    <row r="196" spans="2:13">
      <c r="B196" s="1986"/>
      <c r="C196" s="73" t="s">
        <v>625</v>
      </c>
      <c r="D196" s="277"/>
      <c r="E196" s="96"/>
      <c r="F196" s="96"/>
      <c r="G196" s="96"/>
      <c r="H196" s="96"/>
      <c r="I196" s="96"/>
      <c r="J196" s="96"/>
      <c r="K196" s="96"/>
      <c r="L196" s="96"/>
      <c r="M196" s="96"/>
    </row>
    <row r="197" spans="2:13">
      <c r="B197" s="1986"/>
      <c r="C197" s="73" t="s">
        <v>626</v>
      </c>
      <c r="D197" s="277"/>
      <c r="E197" s="96"/>
      <c r="F197" s="96"/>
      <c r="G197" s="96"/>
      <c r="H197" s="96"/>
      <c r="I197" s="96"/>
      <c r="J197" s="96"/>
      <c r="K197" s="96"/>
      <c r="L197" s="480"/>
      <c r="M197" s="96"/>
    </row>
    <row r="198" spans="2:13">
      <c r="B198" s="1986"/>
      <c r="C198" s="73" t="s">
        <v>627</v>
      </c>
      <c r="D198" s="277"/>
      <c r="E198" s="96"/>
      <c r="F198" s="96"/>
      <c r="G198" s="96"/>
      <c r="H198" s="96"/>
      <c r="I198" s="96"/>
      <c r="J198" s="96"/>
      <c r="K198" s="96"/>
      <c r="L198" s="96"/>
      <c r="M198" s="96"/>
    </row>
    <row r="199" spans="2:13">
      <c r="B199" s="1986"/>
      <c r="C199" s="73" t="s">
        <v>628</v>
      </c>
      <c r="D199" s="277"/>
      <c r="E199" s="96"/>
      <c r="F199" s="96"/>
      <c r="G199" s="96"/>
      <c r="H199" s="96"/>
      <c r="I199" s="96"/>
      <c r="J199" s="96"/>
      <c r="K199" s="96"/>
      <c r="L199" s="96"/>
      <c r="M199" s="96"/>
    </row>
    <row r="200" spans="2:13">
      <c r="B200" s="1986"/>
      <c r="C200" s="73" t="s">
        <v>629</v>
      </c>
      <c r="D200" s="277"/>
      <c r="E200" s="96"/>
      <c r="F200" s="96"/>
      <c r="G200" s="96"/>
      <c r="H200" s="96"/>
      <c r="I200" s="96"/>
      <c r="J200" s="96"/>
      <c r="K200" s="96"/>
      <c r="L200" s="96"/>
      <c r="M200" s="96"/>
    </row>
    <row r="201" spans="2:13">
      <c r="B201" s="1986"/>
      <c r="C201" s="73" t="s">
        <v>630</v>
      </c>
      <c r="D201" s="277"/>
      <c r="E201" s="96"/>
      <c r="F201" s="96"/>
      <c r="G201" s="96"/>
      <c r="H201" s="96"/>
      <c r="I201" s="96"/>
      <c r="J201" s="96"/>
      <c r="K201" s="96"/>
      <c r="L201" s="96"/>
      <c r="M201" s="96"/>
    </row>
    <row r="202" spans="2:13">
      <c r="B202" s="1986"/>
      <c r="C202" s="87" t="s">
        <v>631</v>
      </c>
      <c r="D202" s="277"/>
      <c r="E202" s="96"/>
      <c r="F202" s="96"/>
      <c r="G202" s="96"/>
      <c r="H202" s="96"/>
      <c r="I202" s="96"/>
      <c r="J202" s="96"/>
      <c r="K202" s="96"/>
      <c r="L202" s="480"/>
      <c r="M202" s="96"/>
    </row>
    <row r="203" spans="2:13" ht="18.75" thickBot="1">
      <c r="B203" s="1987"/>
      <c r="C203" s="12" t="s">
        <v>334</v>
      </c>
      <c r="D203" s="114"/>
      <c r="E203" s="115"/>
      <c r="F203" s="115" t="str">
        <f>IF(SUM(F195:F202)=0,"",SUM(F195:F202))</f>
        <v/>
      </c>
      <c r="G203" s="434" t="str">
        <f>IF(SUM(G195:G202)=0,"",SUM(G195:G202))</f>
        <v/>
      </c>
      <c r="H203" s="434" t="str">
        <f>IF(SUM(H195:H202)=0,"",SUM(H195:H202))</f>
        <v/>
      </c>
      <c r="I203" s="115"/>
      <c r="J203" s="115"/>
      <c r="K203" s="115"/>
      <c r="L203" s="115"/>
      <c r="M203" s="115"/>
    </row>
    <row r="204" spans="2:13">
      <c r="B204" s="1985" t="s">
        <v>140</v>
      </c>
      <c r="C204" s="72" t="s">
        <v>624</v>
      </c>
      <c r="D204" s="276"/>
      <c r="E204" s="104"/>
      <c r="F204" s="104"/>
      <c r="G204" s="104"/>
      <c r="H204" s="104"/>
      <c r="I204" s="104"/>
      <c r="J204" s="104"/>
      <c r="K204" s="104"/>
      <c r="L204" s="104"/>
      <c r="M204" s="104"/>
    </row>
    <row r="205" spans="2:13">
      <c r="B205" s="1986"/>
      <c r="C205" s="73" t="s">
        <v>625</v>
      </c>
      <c r="D205" s="277"/>
      <c r="E205" s="96"/>
      <c r="F205" s="96"/>
      <c r="G205" s="96"/>
      <c r="H205" s="96"/>
      <c r="I205" s="96"/>
      <c r="J205" s="96"/>
      <c r="K205" s="96"/>
      <c r="L205" s="96"/>
      <c r="M205" s="96"/>
    </row>
    <row r="206" spans="2:13">
      <c r="B206" s="1986"/>
      <c r="C206" s="73" t="s">
        <v>626</v>
      </c>
      <c r="D206" s="277"/>
      <c r="E206" s="96"/>
      <c r="F206" s="96"/>
      <c r="G206" s="96"/>
      <c r="H206" s="96"/>
      <c r="I206" s="96"/>
      <c r="J206" s="96"/>
      <c r="K206" s="96"/>
      <c r="L206" s="96"/>
      <c r="M206" s="96"/>
    </row>
    <row r="207" spans="2:13">
      <c r="B207" s="1986"/>
      <c r="C207" s="73" t="s">
        <v>627</v>
      </c>
      <c r="D207" s="277"/>
      <c r="E207" s="96"/>
      <c r="F207" s="96"/>
      <c r="G207" s="96"/>
      <c r="H207" s="96"/>
      <c r="I207" s="96"/>
      <c r="J207" s="96"/>
      <c r="K207" s="96"/>
      <c r="L207" s="96"/>
      <c r="M207" s="96"/>
    </row>
    <row r="208" spans="2:13">
      <c r="B208" s="1986"/>
      <c r="C208" s="73" t="s">
        <v>628</v>
      </c>
      <c r="D208" s="277"/>
      <c r="E208" s="96"/>
      <c r="F208" s="96"/>
      <c r="G208" s="96"/>
      <c r="H208" s="96"/>
      <c r="I208" s="96"/>
      <c r="J208" s="96"/>
      <c r="K208" s="96"/>
      <c r="L208" s="96"/>
      <c r="M208" s="96"/>
    </row>
    <row r="209" spans="2:13">
      <c r="B209" s="1986"/>
      <c r="C209" s="73" t="s">
        <v>629</v>
      </c>
      <c r="D209" s="277"/>
      <c r="E209" s="96"/>
      <c r="F209" s="96"/>
      <c r="G209" s="96"/>
      <c r="H209" s="96"/>
      <c r="I209" s="96"/>
      <c r="J209" s="96"/>
      <c r="K209" s="96"/>
      <c r="L209" s="96"/>
      <c r="M209" s="96"/>
    </row>
    <row r="210" spans="2:13">
      <c r="B210" s="1986"/>
      <c r="C210" s="73" t="s">
        <v>630</v>
      </c>
      <c r="D210" s="277"/>
      <c r="E210" s="96"/>
      <c r="F210" s="96"/>
      <c r="G210" s="96"/>
      <c r="H210" s="96"/>
      <c r="I210" s="96"/>
      <c r="J210" s="96"/>
      <c r="K210" s="96"/>
      <c r="L210" s="96"/>
      <c r="M210" s="96"/>
    </row>
    <row r="211" spans="2:13">
      <c r="B211" s="1986"/>
      <c r="C211" s="87" t="s">
        <v>631</v>
      </c>
      <c r="D211" s="278"/>
      <c r="E211" s="97"/>
      <c r="F211" s="97"/>
      <c r="G211" s="96"/>
      <c r="H211" s="96"/>
      <c r="I211" s="97"/>
      <c r="J211" s="97"/>
      <c r="K211" s="97"/>
      <c r="L211" s="97"/>
      <c r="M211" s="97"/>
    </row>
    <row r="212" spans="2:13" ht="18.75" thickBot="1">
      <c r="B212" s="1987"/>
      <c r="C212" s="12" t="s">
        <v>334</v>
      </c>
      <c r="D212" s="114"/>
      <c r="E212" s="115"/>
      <c r="F212" s="115" t="str">
        <f>IF(SUM(F204:F211)=0,"",SUM(F204:F211))</f>
        <v/>
      </c>
      <c r="G212" s="434" t="str">
        <f>IF(SUM(G204:G211)=0,"",SUM(G204:G211))</f>
        <v/>
      </c>
      <c r="H212" s="434" t="str">
        <f>IF(SUM(H204:H211)=0,"",SUM(H204:H211))</f>
        <v/>
      </c>
      <c r="I212" s="115"/>
      <c r="J212" s="115"/>
      <c r="K212" s="115"/>
      <c r="L212" s="115"/>
      <c r="M212" s="115"/>
    </row>
    <row r="213" spans="2:13">
      <c r="B213" s="1985" t="s">
        <v>142</v>
      </c>
      <c r="C213" s="72" t="s">
        <v>624</v>
      </c>
      <c r="D213" s="276"/>
      <c r="E213" s="104"/>
      <c r="F213" s="104"/>
      <c r="G213" s="104"/>
      <c r="H213" s="104"/>
      <c r="I213" s="104"/>
      <c r="J213" s="104"/>
      <c r="K213" s="104"/>
      <c r="L213" s="104"/>
      <c r="M213" s="104"/>
    </row>
    <row r="214" spans="2:13">
      <c r="B214" s="1986"/>
      <c r="C214" s="73" t="s">
        <v>625</v>
      </c>
      <c r="D214" s="277"/>
      <c r="E214" s="96"/>
      <c r="F214" s="96"/>
      <c r="G214" s="96"/>
      <c r="H214" s="96"/>
      <c r="I214" s="96"/>
      <c r="J214" s="96"/>
      <c r="K214" s="96"/>
      <c r="L214" s="96"/>
      <c r="M214" s="96"/>
    </row>
    <row r="215" spans="2:13">
      <c r="B215" s="1986"/>
      <c r="C215" s="73" t="s">
        <v>626</v>
      </c>
      <c r="D215" s="277"/>
      <c r="E215" s="96"/>
      <c r="F215" s="96"/>
      <c r="G215" s="96"/>
      <c r="H215" s="96"/>
      <c r="I215" s="96"/>
      <c r="J215" s="96"/>
      <c r="K215" s="96"/>
      <c r="L215" s="96"/>
      <c r="M215" s="96"/>
    </row>
    <row r="216" spans="2:13">
      <c r="B216" s="1986"/>
      <c r="C216" s="73" t="s">
        <v>627</v>
      </c>
      <c r="D216" s="277"/>
      <c r="E216" s="96"/>
      <c r="F216" s="96"/>
      <c r="G216" s="96"/>
      <c r="H216" s="96"/>
      <c r="I216" s="96"/>
      <c r="J216" s="96"/>
      <c r="K216" s="96"/>
      <c r="L216" s="96"/>
      <c r="M216" s="96"/>
    </row>
    <row r="217" spans="2:13">
      <c r="B217" s="1986"/>
      <c r="C217" s="73" t="s">
        <v>628</v>
      </c>
      <c r="D217" s="277"/>
      <c r="E217" s="96"/>
      <c r="F217" s="96"/>
      <c r="G217" s="96"/>
      <c r="H217" s="96"/>
      <c r="I217" s="96"/>
      <c r="J217" s="96"/>
      <c r="K217" s="96"/>
      <c r="L217" s="96"/>
      <c r="M217" s="96"/>
    </row>
    <row r="218" spans="2:13">
      <c r="B218" s="1986"/>
      <c r="C218" s="73" t="s">
        <v>629</v>
      </c>
      <c r="D218" s="277"/>
      <c r="E218" s="96"/>
      <c r="F218" s="96"/>
      <c r="G218" s="96"/>
      <c r="H218" s="96"/>
      <c r="I218" s="96"/>
      <c r="J218" s="96"/>
      <c r="K218" s="96"/>
      <c r="L218" s="96"/>
      <c r="M218" s="96"/>
    </row>
    <row r="219" spans="2:13">
      <c r="B219" s="1986"/>
      <c r="C219" s="73" t="s">
        <v>630</v>
      </c>
      <c r="D219" s="277"/>
      <c r="E219" s="96"/>
      <c r="F219" s="96"/>
      <c r="G219" s="96"/>
      <c r="H219" s="96"/>
      <c r="I219" s="96"/>
      <c r="J219" s="96"/>
      <c r="K219" s="96"/>
      <c r="L219" s="96"/>
      <c r="M219" s="96"/>
    </row>
    <row r="220" spans="2:13" ht="17.25" thickBot="1">
      <c r="B220" s="1986"/>
      <c r="C220" s="87" t="s">
        <v>631</v>
      </c>
      <c r="D220" s="277"/>
      <c r="E220" s="96"/>
      <c r="F220" s="96"/>
      <c r="G220" s="96"/>
      <c r="H220" s="96"/>
      <c r="I220" s="96"/>
      <c r="J220" s="96"/>
      <c r="K220" s="96"/>
      <c r="L220" s="96"/>
      <c r="M220" s="96"/>
    </row>
    <row r="221" spans="2:13" ht="18.75" thickBot="1">
      <c r="B221" s="1987"/>
      <c r="C221" s="12" t="s">
        <v>334</v>
      </c>
      <c r="D221" s="114"/>
      <c r="E221" s="115"/>
      <c r="F221" s="115" t="str">
        <f>IF(SUM(F213:F220)=0,"",SUM(F213:F220))</f>
        <v/>
      </c>
      <c r="G221" s="434" t="str">
        <f>IF(SUM(G213:G220)=0,"",SUM(G213:G220))</f>
        <v/>
      </c>
      <c r="H221" s="434" t="str">
        <f>IF(SUM(H213:H220)=0,"",SUM(H213:H220))</f>
        <v/>
      </c>
      <c r="I221" s="115"/>
      <c r="J221" s="115"/>
      <c r="K221" s="115"/>
      <c r="L221" s="115"/>
      <c r="M221" s="115"/>
    </row>
    <row r="222" spans="2:13">
      <c r="B222" s="1985" t="s">
        <v>144</v>
      </c>
      <c r="C222" s="72" t="s">
        <v>624</v>
      </c>
      <c r="D222" s="276"/>
      <c r="E222" s="104"/>
      <c r="F222" s="104"/>
      <c r="G222" s="104"/>
      <c r="H222" s="104"/>
      <c r="I222" s="104"/>
      <c r="J222" s="104"/>
      <c r="K222" s="104"/>
      <c r="L222" s="104"/>
      <c r="M222" s="104"/>
    </row>
    <row r="223" spans="2:13">
      <c r="B223" s="1986"/>
      <c r="C223" s="73" t="s">
        <v>625</v>
      </c>
      <c r="D223" s="277"/>
      <c r="E223" s="96"/>
      <c r="F223" s="96"/>
      <c r="G223" s="96"/>
      <c r="H223" s="96"/>
      <c r="I223" s="96"/>
      <c r="J223" s="96"/>
      <c r="K223" s="96"/>
      <c r="L223" s="96"/>
      <c r="M223" s="96"/>
    </row>
    <row r="224" spans="2:13">
      <c r="B224" s="1986"/>
      <c r="C224" s="73" t="s">
        <v>626</v>
      </c>
      <c r="D224" s="277"/>
      <c r="E224" s="96"/>
      <c r="F224" s="96"/>
      <c r="G224" s="96"/>
      <c r="H224" s="96"/>
      <c r="I224" s="96"/>
      <c r="J224" s="96"/>
      <c r="K224" s="96"/>
      <c r="L224" s="96"/>
      <c r="M224" s="96"/>
    </row>
    <row r="225" spans="2:13">
      <c r="B225" s="1986"/>
      <c r="C225" s="73" t="s">
        <v>627</v>
      </c>
      <c r="D225" s="277"/>
      <c r="E225" s="96"/>
      <c r="F225" s="96"/>
      <c r="G225" s="96"/>
      <c r="H225" s="96"/>
      <c r="I225" s="96"/>
      <c r="J225" s="96"/>
      <c r="K225" s="96"/>
      <c r="L225" s="96"/>
      <c r="M225" s="96"/>
    </row>
    <row r="226" spans="2:13">
      <c r="B226" s="1986"/>
      <c r="C226" s="73" t="s">
        <v>628</v>
      </c>
      <c r="D226" s="277"/>
      <c r="E226" s="96"/>
      <c r="F226" s="96"/>
      <c r="G226" s="96"/>
      <c r="H226" s="96"/>
      <c r="I226" s="96"/>
      <c r="J226" s="96"/>
      <c r="K226" s="96"/>
      <c r="L226" s="96"/>
      <c r="M226" s="96"/>
    </row>
    <row r="227" spans="2:13">
      <c r="B227" s="1986"/>
      <c r="C227" s="73" t="s">
        <v>629</v>
      </c>
      <c r="D227" s="277"/>
      <c r="E227" s="96"/>
      <c r="F227" s="96"/>
      <c r="G227" s="96"/>
      <c r="H227" s="96"/>
      <c r="I227" s="96"/>
      <c r="J227" s="96"/>
      <c r="K227" s="96"/>
      <c r="L227" s="96"/>
      <c r="M227" s="96"/>
    </row>
    <row r="228" spans="2:13">
      <c r="B228" s="1986"/>
      <c r="C228" s="73" t="s">
        <v>630</v>
      </c>
      <c r="D228" s="277"/>
      <c r="E228" s="96"/>
      <c r="F228" s="96"/>
      <c r="G228" s="96"/>
      <c r="H228" s="96"/>
      <c r="I228" s="96"/>
      <c r="J228" s="96"/>
      <c r="K228" s="96"/>
      <c r="L228" s="96"/>
      <c r="M228" s="96"/>
    </row>
    <row r="229" spans="2:13" ht="17.25" thickBot="1">
      <c r="B229" s="1986"/>
      <c r="C229" s="87" t="s">
        <v>631</v>
      </c>
      <c r="D229" s="277"/>
      <c r="E229" s="96"/>
      <c r="F229" s="96"/>
      <c r="G229" s="96"/>
      <c r="H229" s="96"/>
      <c r="I229" s="96"/>
      <c r="J229" s="96"/>
      <c r="K229" s="96"/>
      <c r="L229" s="96"/>
      <c r="M229" s="96"/>
    </row>
    <row r="230" spans="2:13" ht="18.75" thickBot="1">
      <c r="B230" s="1987"/>
      <c r="C230" s="12" t="s">
        <v>334</v>
      </c>
      <c r="D230" s="114"/>
      <c r="E230" s="115"/>
      <c r="F230" s="115" t="str">
        <f>IF(SUM(F222:F229)=0,"",SUM(F222:F229))</f>
        <v/>
      </c>
      <c r="G230" s="434" t="str">
        <f>IF(SUM(G222:G229)=0,"",SUM(G222:G229))</f>
        <v/>
      </c>
      <c r="H230" s="434" t="str">
        <f>IF(SUM(H222:H229)=0,"",SUM(H222:H229))</f>
        <v/>
      </c>
      <c r="I230" s="115"/>
      <c r="J230" s="115"/>
      <c r="K230" s="115"/>
      <c r="L230" s="115"/>
      <c r="M230" s="115"/>
    </row>
  </sheetData>
  <mergeCells count="28">
    <mergeCell ref="B25:B33"/>
    <mergeCell ref="B79:B87"/>
    <mergeCell ref="A5:A6"/>
    <mergeCell ref="A121:A122"/>
    <mergeCell ref="B121:M121"/>
    <mergeCell ref="B34:B42"/>
    <mergeCell ref="B43:B51"/>
    <mergeCell ref="B52:B60"/>
    <mergeCell ref="B61:B69"/>
    <mergeCell ref="B70:B78"/>
    <mergeCell ref="B5:M5"/>
    <mergeCell ref="B7:B15"/>
    <mergeCell ref="B16:B24"/>
    <mergeCell ref="B123:B131"/>
    <mergeCell ref="B132:B140"/>
    <mergeCell ref="B88:B96"/>
    <mergeCell ref="B97:B105"/>
    <mergeCell ref="B106:B114"/>
    <mergeCell ref="B141:B149"/>
    <mergeCell ref="B150:B158"/>
    <mergeCell ref="B159:B167"/>
    <mergeCell ref="B168:B176"/>
    <mergeCell ref="B177:B185"/>
    <mergeCell ref="B186:B194"/>
    <mergeCell ref="B195:B203"/>
    <mergeCell ref="B204:B212"/>
    <mergeCell ref="B213:B221"/>
    <mergeCell ref="B222:B230"/>
  </mergeCells>
  <pageMargins left="0.7" right="0.7" top="0.75" bottom="0.75" header="0.3" footer="0.3"/>
  <pageSetup orientation="portrait" horizontalDpi="4294967295" verticalDpi="4294967295"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00A09-D87A-45D5-AC7C-BF326E32916A}">
  <dimension ref="A1:AF168"/>
  <sheetViews>
    <sheetView showGridLines="0" zoomScale="85" zoomScaleNormal="85" workbookViewId="0">
      <pane xSplit="1" ySplit="3" topLeftCell="B4" activePane="bottomRight" state="frozen"/>
      <selection pane="topRight" activeCell="B1" sqref="B1"/>
      <selection pane="bottomLeft" activeCell="A4" sqref="A4"/>
      <selection pane="bottomRight"/>
    </sheetView>
  </sheetViews>
  <sheetFormatPr defaultColWidth="10.7109375" defaultRowHeight="18"/>
  <cols>
    <col min="1" max="1" width="34.7109375" style="325" customWidth="1"/>
    <col min="2" max="2" width="83.7109375" style="324" bestFit="1" customWidth="1"/>
    <col min="3" max="3" width="13" style="325" customWidth="1"/>
    <col min="4" max="4" width="33.140625" style="325" customWidth="1"/>
    <col min="5" max="5" width="25.7109375" style="325" customWidth="1"/>
    <col min="6" max="6" width="27.85546875" style="325" customWidth="1"/>
    <col min="7" max="7" width="23.28515625" style="325" customWidth="1"/>
    <col min="8" max="8" width="16.7109375" style="325" customWidth="1"/>
    <col min="9" max="9" width="18.7109375" style="325" customWidth="1"/>
    <col min="10" max="11" width="10.85546875" style="325" customWidth="1"/>
    <col min="12" max="12" width="12.7109375" style="325" customWidth="1"/>
    <col min="13" max="13" width="19" style="325" customWidth="1"/>
    <col min="14" max="14" width="10.85546875" style="325" bestFit="1" customWidth="1"/>
    <col min="15" max="16384" width="10.7109375" style="325"/>
  </cols>
  <sheetData>
    <row r="1" spans="1:32" ht="32.25" customHeight="1"/>
    <row r="2" spans="1:32" ht="32.25" customHeight="1"/>
    <row r="3" spans="1:32" ht="32.25" customHeight="1"/>
    <row r="4" spans="1:32" ht="32.25" customHeight="1" thickBot="1">
      <c r="A4" s="1933">
        <v>2023</v>
      </c>
    </row>
    <row r="5" spans="1:32" s="347" customFormat="1" ht="19.5" thickBot="1">
      <c r="A5" s="1933"/>
      <c r="B5" s="2046" t="s">
        <v>644</v>
      </c>
      <c r="C5" s="2045" t="s">
        <v>278</v>
      </c>
      <c r="D5" s="2045"/>
      <c r="E5" s="2045" t="s">
        <v>279</v>
      </c>
      <c r="F5" s="2045"/>
      <c r="G5" s="2045" t="s">
        <v>280</v>
      </c>
      <c r="H5" s="2045"/>
      <c r="I5" s="2045" t="s">
        <v>281</v>
      </c>
      <c r="J5" s="2045"/>
      <c r="K5" s="2045" t="s">
        <v>132</v>
      </c>
      <c r="L5" s="2045"/>
      <c r="M5" s="2045" t="s">
        <v>282</v>
      </c>
      <c r="N5" s="2045"/>
      <c r="O5" s="2045" t="s">
        <v>283</v>
      </c>
      <c r="P5" s="2045"/>
      <c r="Q5" s="2045" t="s">
        <v>284</v>
      </c>
      <c r="R5" s="2045"/>
      <c r="S5" s="2045" t="s">
        <v>285</v>
      </c>
      <c r="T5" s="2045"/>
      <c r="U5" s="2045" t="s">
        <v>286</v>
      </c>
      <c r="V5" s="2045"/>
      <c r="W5" s="2045" t="s">
        <v>287</v>
      </c>
      <c r="X5" s="2045"/>
      <c r="Y5" s="2045" t="s">
        <v>288</v>
      </c>
      <c r="Z5" s="2045"/>
    </row>
    <row r="6" spans="1:32" s="347" customFormat="1" ht="19.5" thickBot="1">
      <c r="B6" s="2047"/>
      <c r="C6" s="348" t="s">
        <v>308</v>
      </c>
      <c r="D6" s="348" t="s">
        <v>199</v>
      </c>
      <c r="E6" s="348" t="s">
        <v>308</v>
      </c>
      <c r="F6" s="348" t="s">
        <v>199</v>
      </c>
      <c r="G6" s="348" t="s">
        <v>308</v>
      </c>
      <c r="H6" s="348" t="s">
        <v>199</v>
      </c>
      <c r="I6" s="348" t="s">
        <v>308</v>
      </c>
      <c r="J6" s="348" t="s">
        <v>199</v>
      </c>
      <c r="K6" s="348" t="s">
        <v>308</v>
      </c>
      <c r="L6" s="348" t="s">
        <v>199</v>
      </c>
      <c r="M6" s="348" t="s">
        <v>308</v>
      </c>
      <c r="N6" s="348" t="s">
        <v>199</v>
      </c>
      <c r="O6" s="348" t="s">
        <v>308</v>
      </c>
      <c r="P6" s="348" t="s">
        <v>199</v>
      </c>
      <c r="Q6" s="348" t="s">
        <v>308</v>
      </c>
      <c r="R6" s="348" t="s">
        <v>199</v>
      </c>
      <c r="S6" s="348" t="s">
        <v>308</v>
      </c>
      <c r="T6" s="348" t="s">
        <v>199</v>
      </c>
      <c r="U6" s="348" t="s">
        <v>308</v>
      </c>
      <c r="V6" s="348" t="s">
        <v>199</v>
      </c>
      <c r="W6" s="348" t="s">
        <v>308</v>
      </c>
      <c r="X6" s="348" t="s">
        <v>199</v>
      </c>
      <c r="Y6" s="348" t="s">
        <v>308</v>
      </c>
      <c r="Z6" s="348" t="s">
        <v>199</v>
      </c>
    </row>
    <row r="7" spans="1:32">
      <c r="A7" s="880" t="s">
        <v>338</v>
      </c>
      <c r="B7" s="479" t="s">
        <v>645</v>
      </c>
      <c r="C7" s="327">
        <v>2</v>
      </c>
      <c r="D7" s="328">
        <f>14*26*2</f>
        <v>728</v>
      </c>
      <c r="E7" s="328">
        <v>0</v>
      </c>
      <c r="F7" s="328">
        <f>14*20*2</f>
        <v>560</v>
      </c>
      <c r="G7" s="328">
        <v>0</v>
      </c>
      <c r="H7" s="328">
        <f>14*22*2</f>
        <v>616</v>
      </c>
      <c r="I7" s="328"/>
      <c r="J7" s="328">
        <f>14*18*2</f>
        <v>504</v>
      </c>
      <c r="K7" s="328"/>
      <c r="L7" s="328">
        <f>14*26*2</f>
        <v>728</v>
      </c>
      <c r="M7" s="328"/>
      <c r="N7" s="328">
        <f>14*16*2</f>
        <v>448</v>
      </c>
      <c r="O7" s="328"/>
      <c r="P7" s="328">
        <f>14*20*2</f>
        <v>560</v>
      </c>
      <c r="Q7" s="328"/>
      <c r="R7" s="328">
        <f>14*24*2</f>
        <v>672</v>
      </c>
      <c r="S7" s="328"/>
      <c r="T7" s="328">
        <f>14*26*2</f>
        <v>728</v>
      </c>
      <c r="U7" s="328"/>
      <c r="V7" s="328">
        <f>14*22*2</f>
        <v>616</v>
      </c>
      <c r="W7" s="328"/>
      <c r="X7" s="328"/>
      <c r="Y7" s="328"/>
      <c r="Z7" s="329"/>
      <c r="AE7" s="325">
        <v>4.78</v>
      </c>
      <c r="AF7" s="325" t="s">
        <v>646</v>
      </c>
    </row>
    <row r="8" spans="1:32">
      <c r="A8" s="882" t="s">
        <v>196</v>
      </c>
      <c r="B8" s="330" t="s">
        <v>647</v>
      </c>
      <c r="C8" s="331"/>
      <c r="D8" s="332"/>
      <c r="E8" s="332"/>
      <c r="F8" s="332"/>
      <c r="G8" s="332"/>
      <c r="H8" s="332"/>
      <c r="I8" s="332"/>
      <c r="J8" s="332"/>
      <c r="K8" s="332"/>
      <c r="L8" s="332"/>
      <c r="M8" s="332"/>
      <c r="N8" s="332"/>
      <c r="O8" s="332"/>
      <c r="P8" s="332"/>
      <c r="Q8" s="332"/>
      <c r="R8" s="332"/>
      <c r="S8" s="332"/>
      <c r="T8" s="332"/>
      <c r="U8" s="332"/>
      <c r="V8" s="332"/>
      <c r="W8" s="332"/>
      <c r="X8" s="332"/>
      <c r="Y8" s="332"/>
      <c r="Z8" s="333"/>
    </row>
    <row r="9" spans="1:32">
      <c r="A9" t="s">
        <v>241</v>
      </c>
      <c r="B9" s="334" t="s">
        <v>648</v>
      </c>
      <c r="C9" s="331"/>
      <c r="D9" s="332"/>
      <c r="E9" s="332"/>
      <c r="F9" s="332"/>
      <c r="G9" s="332"/>
      <c r="H9" s="332"/>
      <c r="I9" s="332"/>
      <c r="J9" s="332"/>
      <c r="K9" s="332"/>
      <c r="L9" s="332"/>
      <c r="M9" s="332"/>
      <c r="N9" s="332"/>
      <c r="O9" s="332"/>
      <c r="P9" s="332"/>
      <c r="Q9" s="332"/>
      <c r="R9" s="332"/>
      <c r="S9" s="332"/>
      <c r="T9" s="332"/>
      <c r="U9" s="332"/>
      <c r="V9" s="332"/>
      <c r="W9" s="332"/>
      <c r="X9" s="332"/>
      <c r="Y9" s="332"/>
      <c r="Z9" s="333"/>
    </row>
    <row r="10" spans="1:32">
      <c r="B10" s="330" t="s">
        <v>649</v>
      </c>
      <c r="C10" s="331"/>
      <c r="D10" s="332"/>
      <c r="E10" s="332"/>
      <c r="F10" s="332"/>
      <c r="G10" s="332"/>
      <c r="H10" s="332"/>
      <c r="I10" s="332"/>
      <c r="J10" s="332"/>
      <c r="K10" s="332"/>
      <c r="L10" s="332"/>
      <c r="M10" s="332"/>
      <c r="N10" s="332"/>
      <c r="O10" s="332"/>
      <c r="P10" s="332"/>
      <c r="Q10" s="332"/>
      <c r="R10" s="332"/>
      <c r="S10" s="332"/>
      <c r="T10" s="332"/>
      <c r="U10" s="332"/>
      <c r="V10" s="332"/>
      <c r="W10" s="332"/>
      <c r="X10" s="332"/>
      <c r="Y10" s="332"/>
      <c r="Z10" s="333"/>
    </row>
    <row r="11" spans="1:32">
      <c r="B11" s="334" t="s">
        <v>650</v>
      </c>
      <c r="C11" s="331"/>
      <c r="D11" s="332"/>
      <c r="E11" s="332"/>
      <c r="F11" s="332"/>
      <c r="G11" s="332"/>
      <c r="H11" s="332"/>
      <c r="I11" s="332"/>
      <c r="J11" s="332"/>
      <c r="K11" s="332"/>
      <c r="L11" s="332"/>
      <c r="M11" s="332"/>
      <c r="N11" s="332"/>
      <c r="O11" s="332"/>
      <c r="P11" s="332"/>
      <c r="Q11" s="332"/>
      <c r="R11" s="332"/>
      <c r="S11" s="332"/>
      <c r="T11" s="332"/>
      <c r="U11" s="332"/>
      <c r="V11" s="332"/>
      <c r="W11" s="332"/>
      <c r="X11" s="332"/>
      <c r="Y11" s="332"/>
      <c r="Z11" s="333"/>
    </row>
    <row r="12" spans="1:32">
      <c r="B12" s="334" t="s">
        <v>651</v>
      </c>
      <c r="C12" s="331"/>
      <c r="D12" s="332"/>
      <c r="E12" s="332"/>
      <c r="F12" s="332"/>
      <c r="G12" s="332"/>
      <c r="H12" s="332"/>
      <c r="I12" s="332"/>
      <c r="J12" s="332"/>
      <c r="K12" s="332"/>
      <c r="L12" s="332"/>
      <c r="M12" s="332"/>
      <c r="N12" s="332"/>
      <c r="O12" s="332"/>
      <c r="P12" s="332"/>
      <c r="Q12" s="332"/>
      <c r="R12" s="332"/>
      <c r="S12" s="332">
        <v>1</v>
      </c>
      <c r="T12" s="332">
        <f>20*((2.2*42)/50)</f>
        <v>36.96</v>
      </c>
      <c r="U12" s="332">
        <v>0</v>
      </c>
      <c r="V12" s="332">
        <f>17*((2.2*42)/50)</f>
        <v>31.416</v>
      </c>
      <c r="W12" s="332">
        <v>0</v>
      </c>
      <c r="X12" s="332">
        <f>17*((2.2*42)/50)</f>
        <v>31.416</v>
      </c>
      <c r="Y12" s="332"/>
      <c r="Z12" s="333"/>
    </row>
    <row r="13" spans="1:32">
      <c r="B13" s="334" t="s">
        <v>652</v>
      </c>
      <c r="C13" s="331"/>
      <c r="D13" s="332"/>
      <c r="E13" s="332"/>
      <c r="F13" s="332"/>
      <c r="G13" s="332"/>
      <c r="H13" s="332"/>
      <c r="I13" s="332"/>
      <c r="J13" s="332"/>
      <c r="K13" s="332"/>
      <c r="L13" s="332"/>
      <c r="M13" s="332"/>
      <c r="N13" s="332"/>
      <c r="O13" s="332"/>
      <c r="P13" s="332"/>
      <c r="Q13" s="332"/>
      <c r="R13" s="332"/>
      <c r="S13" s="332"/>
      <c r="T13" s="332"/>
      <c r="U13" s="332"/>
      <c r="V13" s="332"/>
      <c r="W13" s="332"/>
      <c r="X13" s="332"/>
      <c r="Y13" s="332"/>
      <c r="Z13" s="333"/>
    </row>
    <row r="14" spans="1:32">
      <c r="B14" s="335" t="s">
        <v>653</v>
      </c>
      <c r="C14" s="331"/>
      <c r="D14" s="332"/>
      <c r="E14" s="332"/>
      <c r="F14" s="332"/>
      <c r="G14" s="332"/>
      <c r="H14" s="332"/>
      <c r="I14" s="332"/>
      <c r="J14" s="332"/>
      <c r="K14" s="332"/>
      <c r="L14" s="332"/>
      <c r="M14" s="332"/>
      <c r="N14" s="332"/>
      <c r="O14" s="332"/>
      <c r="P14" s="332"/>
      <c r="Q14" s="332"/>
      <c r="R14" s="332"/>
      <c r="S14" s="332"/>
      <c r="T14" s="332"/>
      <c r="U14" s="332"/>
      <c r="V14" s="332"/>
      <c r="W14" s="332"/>
      <c r="X14" s="332"/>
      <c r="Y14" s="332"/>
      <c r="Z14" s="333"/>
    </row>
    <row r="15" spans="1:32">
      <c r="B15" s="335" t="s">
        <v>654</v>
      </c>
      <c r="C15" s="331"/>
      <c r="D15" s="332"/>
      <c r="E15" s="332"/>
      <c r="F15" s="332"/>
      <c r="G15" s="332"/>
      <c r="H15" s="332"/>
      <c r="I15" s="332"/>
      <c r="J15" s="332"/>
      <c r="K15" s="332"/>
      <c r="L15" s="332"/>
      <c r="M15" s="332"/>
      <c r="N15" s="332"/>
      <c r="O15" s="332"/>
      <c r="P15" s="332"/>
      <c r="Q15" s="332"/>
      <c r="R15" s="332"/>
      <c r="S15" s="332"/>
      <c r="T15" s="332"/>
      <c r="U15" s="332"/>
      <c r="V15" s="332"/>
      <c r="W15" s="332"/>
      <c r="X15" s="332"/>
      <c r="Y15" s="332"/>
      <c r="Z15" s="333"/>
    </row>
    <row r="16" spans="1:32">
      <c r="B16" s="335" t="s">
        <v>655</v>
      </c>
      <c r="C16" s="331"/>
      <c r="D16" s="332"/>
      <c r="E16" s="332"/>
      <c r="F16" s="332"/>
      <c r="G16" s="332"/>
      <c r="H16" s="332"/>
      <c r="I16" s="332"/>
      <c r="J16" s="332"/>
      <c r="K16" s="332"/>
      <c r="L16" s="332"/>
      <c r="M16" s="332"/>
      <c r="N16" s="332"/>
      <c r="O16" s="332"/>
      <c r="P16" s="332"/>
      <c r="Q16" s="332"/>
      <c r="R16" s="332"/>
      <c r="S16" s="332"/>
      <c r="T16" s="332"/>
      <c r="U16" s="332"/>
      <c r="V16" s="332"/>
      <c r="W16" s="332"/>
      <c r="X16" s="332"/>
      <c r="Y16" s="332"/>
      <c r="Z16" s="333"/>
    </row>
    <row r="17" spans="2:26">
      <c r="B17" s="335" t="s">
        <v>656</v>
      </c>
      <c r="C17" s="331"/>
      <c r="D17" s="332"/>
      <c r="E17" s="332"/>
      <c r="F17" s="332"/>
      <c r="G17" s="332"/>
      <c r="H17" s="332"/>
      <c r="I17" s="332"/>
      <c r="J17" s="332"/>
      <c r="K17" s="332"/>
      <c r="L17" s="332"/>
      <c r="M17" s="332"/>
      <c r="N17" s="332"/>
      <c r="O17" s="332"/>
      <c r="P17" s="332"/>
      <c r="Q17" s="332"/>
      <c r="R17" s="332"/>
      <c r="S17" s="332"/>
      <c r="T17" s="332"/>
      <c r="U17" s="332"/>
      <c r="V17" s="332"/>
      <c r="W17" s="332"/>
      <c r="X17" s="332"/>
      <c r="Y17" s="332"/>
      <c r="Z17" s="333"/>
    </row>
    <row r="18" spans="2:26">
      <c r="B18" s="478" t="s">
        <v>657</v>
      </c>
      <c r="C18" s="331"/>
      <c r="D18" s="332"/>
      <c r="E18" s="332"/>
      <c r="F18" s="332"/>
      <c r="G18" s="332"/>
      <c r="H18" s="332"/>
      <c r="I18" s="332"/>
      <c r="J18" s="332"/>
      <c r="K18" s="332"/>
      <c r="L18" s="332"/>
      <c r="M18" s="332"/>
      <c r="N18" s="332"/>
      <c r="O18" s="332"/>
      <c r="P18" s="332"/>
      <c r="Q18" s="332">
        <v>1</v>
      </c>
      <c r="R18" s="332">
        <v>1724.8</v>
      </c>
      <c r="S18" s="332">
        <v>0</v>
      </c>
      <c r="T18" s="332">
        <v>4484.4799999999996</v>
      </c>
      <c r="U18" s="332">
        <v>0</v>
      </c>
      <c r="V18" s="332">
        <v>4139.5200000000004</v>
      </c>
      <c r="W18" s="332">
        <v>0</v>
      </c>
      <c r="X18" s="332">
        <v>4484.4799999999996</v>
      </c>
      <c r="Y18" s="332">
        <v>0</v>
      </c>
      <c r="Z18" s="333">
        <v>4139.5200000000004</v>
      </c>
    </row>
    <row r="19" spans="2:26" ht="18.75" thickBot="1">
      <c r="B19" s="477" t="s">
        <v>658</v>
      </c>
      <c r="C19" s="336"/>
      <c r="D19" s="337"/>
      <c r="E19" s="337"/>
      <c r="F19" s="337"/>
      <c r="G19" s="337"/>
      <c r="H19" s="337"/>
      <c r="I19" s="337"/>
      <c r="J19" s="337"/>
      <c r="K19" s="337"/>
      <c r="L19" s="337"/>
      <c r="M19" s="337"/>
      <c r="N19" s="337"/>
      <c r="O19" s="337"/>
      <c r="P19" s="337"/>
      <c r="Q19" s="337"/>
      <c r="R19" s="337"/>
      <c r="S19" s="337"/>
      <c r="T19" s="337"/>
      <c r="U19" s="337"/>
      <c r="V19" s="337"/>
      <c r="W19" s="337"/>
      <c r="X19" s="337"/>
      <c r="Y19" s="337"/>
      <c r="Z19" s="338"/>
    </row>
    <row r="20" spans="2:26" ht="18.75" thickBot="1">
      <c r="B20" s="8" t="s">
        <v>334</v>
      </c>
      <c r="C20" s="45">
        <f>IF(SUM(C7:C17)=0,"",SUM(C7:C17))</f>
        <v>2</v>
      </c>
      <c r="D20" s="45">
        <f t="shared" ref="D20:Z20" si="0">IF(SUM(D7:D17)=0,"",SUM(D7:D17))</f>
        <v>728</v>
      </c>
      <c r="E20" s="45" t="str">
        <f t="shared" si="0"/>
        <v/>
      </c>
      <c r="F20" s="45">
        <f t="shared" si="0"/>
        <v>560</v>
      </c>
      <c r="G20" s="45" t="str">
        <f t="shared" si="0"/>
        <v/>
      </c>
      <c r="H20" s="45">
        <f t="shared" si="0"/>
        <v>616</v>
      </c>
      <c r="I20" s="45" t="str">
        <f t="shared" si="0"/>
        <v/>
      </c>
      <c r="J20" s="45">
        <f t="shared" si="0"/>
        <v>504</v>
      </c>
      <c r="K20" s="45" t="str">
        <f t="shared" si="0"/>
        <v/>
      </c>
      <c r="L20" s="45">
        <f t="shared" si="0"/>
        <v>728</v>
      </c>
      <c r="M20" s="45" t="str">
        <f t="shared" si="0"/>
        <v/>
      </c>
      <c r="N20" s="45">
        <f t="shared" si="0"/>
        <v>448</v>
      </c>
      <c r="O20" s="45" t="str">
        <f t="shared" si="0"/>
        <v/>
      </c>
      <c r="P20" s="45">
        <f t="shared" si="0"/>
        <v>560</v>
      </c>
      <c r="Q20" s="45" t="str">
        <f t="shared" si="0"/>
        <v/>
      </c>
      <c r="R20" s="45">
        <f t="shared" si="0"/>
        <v>672</v>
      </c>
      <c r="S20" s="45">
        <f t="shared" si="0"/>
        <v>1</v>
      </c>
      <c r="T20" s="45">
        <f t="shared" si="0"/>
        <v>764.96</v>
      </c>
      <c r="U20" s="45" t="str">
        <f t="shared" si="0"/>
        <v/>
      </c>
      <c r="V20" s="45">
        <f t="shared" si="0"/>
        <v>647.41600000000005</v>
      </c>
      <c r="W20" s="45" t="str">
        <f t="shared" si="0"/>
        <v/>
      </c>
      <c r="X20" s="45">
        <f t="shared" si="0"/>
        <v>31.416</v>
      </c>
      <c r="Y20" s="45" t="str">
        <f t="shared" si="0"/>
        <v/>
      </c>
      <c r="Z20" s="45" t="str">
        <f t="shared" si="0"/>
        <v/>
      </c>
    </row>
    <row r="21" spans="2:26" ht="18.75" thickBot="1"/>
    <row r="22" spans="2:26" s="347" customFormat="1" ht="19.5" thickBot="1">
      <c r="B22" s="349" t="s">
        <v>659</v>
      </c>
      <c r="C22" s="346" t="s">
        <v>278</v>
      </c>
      <c r="D22" s="346" t="s">
        <v>279</v>
      </c>
      <c r="E22" s="346" t="s">
        <v>280</v>
      </c>
      <c r="F22" s="346" t="s">
        <v>281</v>
      </c>
      <c r="G22" s="346" t="s">
        <v>132</v>
      </c>
      <c r="H22" s="346" t="s">
        <v>282</v>
      </c>
      <c r="I22" s="346" t="s">
        <v>283</v>
      </c>
      <c r="J22" s="346" t="s">
        <v>284</v>
      </c>
      <c r="K22" s="346" t="s">
        <v>285</v>
      </c>
      <c r="L22" s="346" t="s">
        <v>286</v>
      </c>
      <c r="M22" s="346" t="s">
        <v>287</v>
      </c>
      <c r="N22" s="346" t="s">
        <v>288</v>
      </c>
    </row>
    <row r="23" spans="2:26">
      <c r="B23" s="339" t="s">
        <v>660</v>
      </c>
      <c r="C23" s="427">
        <f>Energy!Q8</f>
        <v>17211.760000000002</v>
      </c>
      <c r="D23" s="428">
        <f>Energy!Q9</f>
        <v>16079.460000000001</v>
      </c>
      <c r="E23" s="428">
        <f>Energy!Q10</f>
        <v>21618.32</v>
      </c>
      <c r="F23" s="428">
        <f>Energy!Q11</f>
        <v>18681.160000000003</v>
      </c>
      <c r="G23" s="428">
        <f>Energy!Q12</f>
        <v>22962.010000000002</v>
      </c>
      <c r="H23" s="428">
        <f>Energy!Q13</f>
        <v>19677.629999999997</v>
      </c>
      <c r="I23" s="428">
        <f>Energy!Q14</f>
        <v>25604.169999999991</v>
      </c>
      <c r="J23" s="428">
        <f>Energy!Q15</f>
        <v>18134.23</v>
      </c>
      <c r="K23" s="428">
        <f>Energy!Q16</f>
        <v>23690.880000000001</v>
      </c>
      <c r="L23" s="428">
        <f>Energy!Q17</f>
        <v>20509.14</v>
      </c>
      <c r="M23" s="428">
        <f>Energy!Q18</f>
        <v>17579.199999999997</v>
      </c>
      <c r="N23" s="429">
        <f>Energy!Q19</f>
        <v>15532.050000000001</v>
      </c>
    </row>
    <row r="24" spans="2:26">
      <c r="B24" s="340" t="s">
        <v>661</v>
      </c>
      <c r="C24" s="331">
        <f>Energy!R8</f>
        <v>12</v>
      </c>
      <c r="D24" s="332">
        <f>Energy!R9</f>
        <v>13</v>
      </c>
      <c r="E24" s="332">
        <f>Energy!R10</f>
        <v>20</v>
      </c>
      <c r="F24" s="332">
        <f>Energy!R11</f>
        <v>15</v>
      </c>
      <c r="G24" s="332">
        <f>Energy!R12</f>
        <v>40</v>
      </c>
      <c r="H24" s="332">
        <f>Energy!R13</f>
        <v>30</v>
      </c>
      <c r="I24" s="332">
        <f>Energy!R14</f>
        <v>40</v>
      </c>
      <c r="J24" s="332">
        <f>Energy!R15</f>
        <v>40</v>
      </c>
      <c r="K24" s="332">
        <f>Energy!R16</f>
        <v>35</v>
      </c>
      <c r="L24" s="332">
        <f>Energy!R17</f>
        <v>30</v>
      </c>
      <c r="M24" s="332">
        <f>Energy!R18</f>
        <v>10</v>
      </c>
      <c r="N24" s="333" t="str">
        <f>Energy!R19</f>
        <v>05</v>
      </c>
    </row>
    <row r="25" spans="2:26">
      <c r="B25" s="340" t="s">
        <v>662</v>
      </c>
      <c r="C25" s="331"/>
      <c r="D25" s="332"/>
      <c r="E25" s="332"/>
      <c r="F25" s="332"/>
      <c r="G25" s="332"/>
      <c r="H25" s="332"/>
      <c r="I25" s="332"/>
      <c r="J25" s="332"/>
      <c r="K25" s="332"/>
      <c r="L25" s="332"/>
      <c r="M25" s="332"/>
      <c r="N25" s="333"/>
    </row>
    <row r="26" spans="2:26">
      <c r="B26" s="340" t="s">
        <v>663</v>
      </c>
      <c r="C26" s="331"/>
      <c r="D26" s="332"/>
      <c r="E26" s="332"/>
      <c r="F26" s="332"/>
      <c r="G26" s="332"/>
      <c r="H26" s="332"/>
      <c r="I26" s="332"/>
      <c r="J26" s="332"/>
      <c r="K26" s="332"/>
      <c r="L26" s="332"/>
      <c r="M26" s="332"/>
      <c r="N26" s="333"/>
    </row>
    <row r="27" spans="2:26" ht="18.75" thickBot="1">
      <c r="B27" s="341" t="s">
        <v>664</v>
      </c>
      <c r="C27" s="336"/>
      <c r="D27" s="337"/>
      <c r="E27" s="337"/>
      <c r="F27" s="337"/>
      <c r="G27" s="337"/>
      <c r="H27" s="337"/>
      <c r="I27" s="337"/>
      <c r="J27" s="337"/>
      <c r="K27" s="337"/>
      <c r="L27" s="337"/>
      <c r="M27" s="337"/>
      <c r="N27" s="338"/>
    </row>
    <row r="28" spans="2:26" ht="18.75" thickBot="1">
      <c r="B28" s="8" t="s">
        <v>334</v>
      </c>
      <c r="C28" s="63">
        <f>IF(SUM(C23:C27)=0,"",SUM(C23:C27))</f>
        <v>17223.760000000002</v>
      </c>
      <c r="D28" s="63">
        <f t="shared" ref="D28:N28" si="1">IF(SUM(D23:D27)=0,"",SUM(D23:D27))</f>
        <v>16092.460000000001</v>
      </c>
      <c r="E28" s="63">
        <f t="shared" si="1"/>
        <v>21638.32</v>
      </c>
      <c r="F28" s="63">
        <f t="shared" si="1"/>
        <v>18696.160000000003</v>
      </c>
      <c r="G28" s="63">
        <f t="shared" si="1"/>
        <v>23002.010000000002</v>
      </c>
      <c r="H28" s="63">
        <f t="shared" si="1"/>
        <v>19707.629999999997</v>
      </c>
      <c r="I28" s="63">
        <f t="shared" si="1"/>
        <v>25644.169999999991</v>
      </c>
      <c r="J28" s="63">
        <f t="shared" si="1"/>
        <v>18174.23</v>
      </c>
      <c r="K28" s="63">
        <f t="shared" si="1"/>
        <v>23725.88</v>
      </c>
      <c r="L28" s="63">
        <f t="shared" si="1"/>
        <v>20539.14</v>
      </c>
      <c r="M28" s="63">
        <f t="shared" si="1"/>
        <v>17589.199999999997</v>
      </c>
      <c r="N28" s="63">
        <f t="shared" si="1"/>
        <v>15532.050000000001</v>
      </c>
    </row>
    <row r="29" spans="2:26" ht="18.75" thickBot="1"/>
    <row r="30" spans="2:26" s="347" customFormat="1" ht="19.5" thickBot="1">
      <c r="B30" s="349" t="s">
        <v>665</v>
      </c>
      <c r="C30" s="346" t="s">
        <v>278</v>
      </c>
      <c r="D30" s="346" t="s">
        <v>279</v>
      </c>
      <c r="E30" s="346" t="s">
        <v>280</v>
      </c>
      <c r="F30" s="346" t="s">
        <v>281</v>
      </c>
      <c r="G30" s="346" t="s">
        <v>132</v>
      </c>
      <c r="H30" s="346" t="s">
        <v>282</v>
      </c>
      <c r="I30" s="346" t="s">
        <v>283</v>
      </c>
      <c r="J30" s="346" t="s">
        <v>284</v>
      </c>
      <c r="K30" s="346" t="s">
        <v>285</v>
      </c>
      <c r="L30" s="346" t="s">
        <v>286</v>
      </c>
      <c r="M30" s="346" t="s">
        <v>287</v>
      </c>
      <c r="N30" s="346" t="s">
        <v>288</v>
      </c>
    </row>
    <row r="31" spans="2:26">
      <c r="B31" s="342" t="s">
        <v>666</v>
      </c>
      <c r="C31" s="327"/>
      <c r="D31" s="328"/>
      <c r="E31" s="328"/>
      <c r="F31" s="328"/>
      <c r="G31" s="328"/>
      <c r="H31" s="328"/>
      <c r="I31" s="328"/>
      <c r="J31" s="328"/>
      <c r="K31" s="328"/>
      <c r="L31" s="328"/>
      <c r="M31" s="328"/>
      <c r="N31" s="329"/>
    </row>
    <row r="32" spans="2:26">
      <c r="B32" s="340" t="s">
        <v>667</v>
      </c>
      <c r="C32" s="331"/>
      <c r="D32" s="332"/>
      <c r="E32" s="332"/>
      <c r="F32" s="332"/>
      <c r="G32" s="332"/>
      <c r="H32" s="332"/>
      <c r="I32" s="332"/>
      <c r="J32" s="332"/>
      <c r="K32" s="332"/>
      <c r="L32" s="332"/>
      <c r="M32" s="332"/>
      <c r="N32" s="333"/>
    </row>
    <row r="33" spans="1:14">
      <c r="B33" s="340" t="s">
        <v>668</v>
      </c>
      <c r="C33" s="331"/>
      <c r="D33" s="332"/>
      <c r="E33" s="332"/>
      <c r="F33" s="332"/>
      <c r="G33" s="332"/>
      <c r="H33" s="332"/>
      <c r="I33" s="332"/>
      <c r="J33" s="332"/>
      <c r="K33" s="332"/>
      <c r="L33" s="332"/>
      <c r="M33" s="332"/>
      <c r="N33" s="333"/>
    </row>
    <row r="34" spans="1:14">
      <c r="A34" s="880" t="s">
        <v>338</v>
      </c>
      <c r="B34" s="343" t="s">
        <v>669</v>
      </c>
      <c r="C34" s="331">
        <f>12.6/3</f>
        <v>4.2</v>
      </c>
      <c r="D34" s="332">
        <f>12.6/3</f>
        <v>4.2</v>
      </c>
      <c r="E34" s="332">
        <f>12.6/3</f>
        <v>4.2</v>
      </c>
      <c r="F34" s="332">
        <v>4</v>
      </c>
      <c r="G34" s="332">
        <v>4</v>
      </c>
      <c r="H34" s="332">
        <v>4.5</v>
      </c>
      <c r="I34" s="332">
        <v>4</v>
      </c>
      <c r="J34" s="332">
        <v>4</v>
      </c>
      <c r="K34" s="332">
        <v>4</v>
      </c>
      <c r="L34" s="332">
        <v>4.5</v>
      </c>
      <c r="M34" s="332">
        <v>4</v>
      </c>
      <c r="N34" s="333">
        <v>0</v>
      </c>
    </row>
    <row r="35" spans="1:14" ht="18.75" thickBot="1">
      <c r="A35" s="882" t="s">
        <v>196</v>
      </c>
      <c r="B35" s="343" t="s">
        <v>670</v>
      </c>
      <c r="C35" s="336"/>
      <c r="D35" s="337"/>
      <c r="E35" s="337"/>
      <c r="F35" s="337"/>
      <c r="G35" s="337"/>
      <c r="H35" s="337"/>
      <c r="I35" s="337"/>
      <c r="J35" s="337"/>
      <c r="K35" s="337"/>
      <c r="L35" s="337"/>
      <c r="M35" s="337"/>
      <c r="N35" s="338"/>
    </row>
    <row r="36" spans="1:14" ht="18.75" thickBot="1">
      <c r="A36" t="s">
        <v>241</v>
      </c>
      <c r="B36" s="8" t="s">
        <v>334</v>
      </c>
      <c r="C36" s="63">
        <f>IF(SUM(C31:C35)=0,"",SUM(C31:C35))</f>
        <v>4.2</v>
      </c>
      <c r="D36" s="63">
        <f t="shared" ref="D36:N36" si="2">IF(SUM(D31:D35)=0,"",SUM(D31:D35))</f>
        <v>4.2</v>
      </c>
      <c r="E36" s="63">
        <f t="shared" si="2"/>
        <v>4.2</v>
      </c>
      <c r="F36" s="63">
        <f t="shared" si="2"/>
        <v>4</v>
      </c>
      <c r="G36" s="63">
        <f t="shared" si="2"/>
        <v>4</v>
      </c>
      <c r="H36" s="63">
        <f t="shared" si="2"/>
        <v>4.5</v>
      </c>
      <c r="I36" s="63">
        <f t="shared" si="2"/>
        <v>4</v>
      </c>
      <c r="J36" s="63">
        <f t="shared" si="2"/>
        <v>4</v>
      </c>
      <c r="K36" s="63">
        <f t="shared" si="2"/>
        <v>4</v>
      </c>
      <c r="L36" s="63">
        <f t="shared" si="2"/>
        <v>4.5</v>
      </c>
      <c r="M36" s="63">
        <f t="shared" si="2"/>
        <v>4</v>
      </c>
      <c r="N36" s="63" t="str">
        <f t="shared" si="2"/>
        <v/>
      </c>
    </row>
    <row r="37" spans="1:14" ht="18.75" thickBot="1"/>
    <row r="38" spans="1:14" s="347" customFormat="1" ht="19.5" thickBot="1">
      <c r="B38" s="349" t="s">
        <v>671</v>
      </c>
      <c r="C38" s="346" t="s">
        <v>278</v>
      </c>
      <c r="D38" s="346" t="s">
        <v>279</v>
      </c>
      <c r="E38" s="346" t="s">
        <v>280</v>
      </c>
      <c r="F38" s="346" t="s">
        <v>281</v>
      </c>
      <c r="G38" s="346" t="s">
        <v>132</v>
      </c>
      <c r="H38" s="346" t="s">
        <v>282</v>
      </c>
      <c r="I38" s="346" t="s">
        <v>283</v>
      </c>
      <c r="J38" s="346" t="s">
        <v>284</v>
      </c>
      <c r="K38" s="346" t="s">
        <v>285</v>
      </c>
      <c r="L38" s="346" t="s">
        <v>286</v>
      </c>
      <c r="M38" s="346" t="s">
        <v>287</v>
      </c>
      <c r="N38" s="346" t="s">
        <v>288</v>
      </c>
    </row>
    <row r="39" spans="1:14">
      <c r="B39" s="342" t="s">
        <v>672</v>
      </c>
      <c r="C39" s="327"/>
      <c r="D39" s="328"/>
      <c r="E39" s="328"/>
      <c r="F39" s="328"/>
      <c r="G39" s="328"/>
      <c r="H39" s="328"/>
      <c r="I39" s="328"/>
      <c r="J39" s="328"/>
      <c r="K39" s="328"/>
      <c r="L39" s="328"/>
      <c r="M39" s="328"/>
      <c r="N39" s="329"/>
    </row>
    <row r="40" spans="1:14" ht="18.75" thickBot="1">
      <c r="B40" s="344" t="s">
        <v>673</v>
      </c>
      <c r="C40" s="336"/>
      <c r="D40" s="337"/>
      <c r="E40" s="337"/>
      <c r="F40" s="337"/>
      <c r="G40" s="337"/>
      <c r="H40" s="337"/>
      <c r="I40" s="337"/>
      <c r="J40" s="337"/>
      <c r="K40" s="337"/>
      <c r="L40" s="337"/>
      <c r="M40" s="337"/>
      <c r="N40" s="338"/>
    </row>
    <row r="41" spans="1:14" ht="18.75" thickBot="1">
      <c r="B41" s="8" t="s">
        <v>334</v>
      </c>
      <c r="C41" s="63"/>
      <c r="D41" s="63"/>
      <c r="E41" s="63"/>
      <c r="F41" s="63"/>
      <c r="G41" s="63"/>
      <c r="H41" s="63"/>
      <c r="I41" s="63"/>
      <c r="J41" s="63"/>
      <c r="K41" s="63"/>
      <c r="L41" s="63"/>
      <c r="M41" s="63"/>
      <c r="N41" s="63"/>
    </row>
    <row r="42" spans="1:14" ht="18.75" thickBot="1"/>
    <row r="43" spans="1:14" s="347" customFormat="1" ht="19.5" thickBot="1">
      <c r="A43" s="880" t="s">
        <v>338</v>
      </c>
      <c r="B43" s="349" t="s">
        <v>674</v>
      </c>
      <c r="C43" s="346" t="s">
        <v>278</v>
      </c>
      <c r="D43" s="346" t="s">
        <v>279</v>
      </c>
      <c r="E43" s="346" t="s">
        <v>280</v>
      </c>
      <c r="F43" s="346" t="s">
        <v>281</v>
      </c>
      <c r="G43" s="346" t="s">
        <v>132</v>
      </c>
      <c r="H43" s="346" t="s">
        <v>282</v>
      </c>
      <c r="I43" s="346" t="s">
        <v>283</v>
      </c>
      <c r="J43" s="346" t="s">
        <v>284</v>
      </c>
      <c r="K43" s="346" t="s">
        <v>285</v>
      </c>
      <c r="L43" s="346" t="s">
        <v>286</v>
      </c>
      <c r="M43" s="346" t="s">
        <v>287</v>
      </c>
      <c r="N43" s="346" t="s">
        <v>288</v>
      </c>
    </row>
    <row r="44" spans="1:14">
      <c r="A44" s="882" t="s">
        <v>232</v>
      </c>
      <c r="B44" s="342" t="s">
        <v>675</v>
      </c>
      <c r="C44" s="327"/>
      <c r="D44" s="328"/>
      <c r="E44" s="328"/>
      <c r="F44" s="328"/>
      <c r="G44" s="328"/>
      <c r="H44" s="328"/>
      <c r="I44" s="328"/>
      <c r="J44" s="328"/>
      <c r="K44" s="328"/>
      <c r="L44" s="328"/>
      <c r="M44" s="328"/>
      <c r="N44" s="329"/>
    </row>
    <row r="45" spans="1:14">
      <c r="A45" t="s">
        <v>676</v>
      </c>
      <c r="B45" s="342" t="s">
        <v>677</v>
      </c>
      <c r="C45" s="331">
        <f>(2370*1.2)/3</f>
        <v>948</v>
      </c>
      <c r="D45" s="332">
        <v>948</v>
      </c>
      <c r="E45" s="332">
        <v>948</v>
      </c>
      <c r="F45" s="332">
        <v>0</v>
      </c>
      <c r="G45" s="332">
        <v>0</v>
      </c>
      <c r="H45" s="332">
        <v>0</v>
      </c>
      <c r="I45" s="332">
        <v>0</v>
      </c>
      <c r="J45" s="332">
        <v>0</v>
      </c>
      <c r="K45" s="332">
        <v>247</v>
      </c>
      <c r="L45" s="332">
        <v>450</v>
      </c>
      <c r="M45" s="332">
        <v>157</v>
      </c>
      <c r="N45" s="333">
        <v>92</v>
      </c>
    </row>
    <row r="46" spans="1:14" ht="18.75" customHeight="1">
      <c r="B46" s="340" t="s">
        <v>678</v>
      </c>
      <c r="C46" s="422">
        <f>((1716*119.2)/1000)/3</f>
        <v>68.182400000000001</v>
      </c>
      <c r="D46" s="423">
        <v>68.182400000000001</v>
      </c>
      <c r="E46" s="423">
        <v>68.182400000000001</v>
      </c>
      <c r="F46" s="422">
        <f>((572*119.2)/1000)</f>
        <v>68.182400000000015</v>
      </c>
      <c r="G46" s="332">
        <v>450</v>
      </c>
      <c r="H46" s="332">
        <v>350</v>
      </c>
      <c r="I46" s="332">
        <v>470</v>
      </c>
      <c r="J46" s="332">
        <v>345</v>
      </c>
      <c r="K46" s="482">
        <v>867</v>
      </c>
      <c r="L46" s="332">
        <v>840</v>
      </c>
      <c r="M46" s="332">
        <v>764</v>
      </c>
      <c r="N46" s="333">
        <v>704</v>
      </c>
    </row>
    <row r="47" spans="1:14">
      <c r="B47" s="340" t="s">
        <v>679</v>
      </c>
      <c r="C47" s="422">
        <f>3340/3</f>
        <v>1113.3333333333333</v>
      </c>
      <c r="D47" s="423">
        <v>1113.3333333333333</v>
      </c>
      <c r="E47" s="423">
        <v>1113.3333333333333</v>
      </c>
      <c r="F47" s="332">
        <v>1020</v>
      </c>
      <c r="G47" s="332">
        <v>820</v>
      </c>
      <c r="H47" s="332">
        <v>950</v>
      </c>
      <c r="I47" s="332">
        <v>1246</v>
      </c>
      <c r="J47" s="332">
        <v>1232</v>
      </c>
      <c r="K47" s="482">
        <v>1136</v>
      </c>
      <c r="L47" s="332">
        <v>1900</v>
      </c>
      <c r="M47" s="332">
        <v>605</v>
      </c>
      <c r="N47" s="333">
        <v>843</v>
      </c>
    </row>
    <row r="48" spans="1:14">
      <c r="B48" s="343" t="s">
        <v>680</v>
      </c>
      <c r="C48" s="331">
        <v>18</v>
      </c>
      <c r="D48" s="332">
        <v>16</v>
      </c>
      <c r="E48" s="332">
        <v>21</v>
      </c>
      <c r="F48" s="332">
        <v>6</v>
      </c>
      <c r="G48" s="332">
        <v>10</v>
      </c>
      <c r="H48" s="332">
        <v>5</v>
      </c>
      <c r="I48" s="332">
        <v>6</v>
      </c>
      <c r="J48" s="332">
        <v>6</v>
      </c>
      <c r="K48" s="332">
        <v>5</v>
      </c>
      <c r="L48" s="332">
        <v>0</v>
      </c>
      <c r="M48" s="332">
        <v>0</v>
      </c>
      <c r="N48" s="333">
        <v>0</v>
      </c>
    </row>
    <row r="49" spans="2:14">
      <c r="B49" s="343" t="s">
        <v>681</v>
      </c>
      <c r="C49" s="331"/>
      <c r="D49" s="332"/>
      <c r="E49" s="332"/>
      <c r="F49" s="332"/>
      <c r="G49" s="332"/>
      <c r="H49" s="332"/>
      <c r="I49" s="332"/>
      <c r="J49" s="332"/>
      <c r="K49" s="332"/>
      <c r="L49" s="332"/>
      <c r="M49" s="332"/>
      <c r="N49" s="333"/>
    </row>
    <row r="50" spans="2:14">
      <c r="B50" s="343" t="s">
        <v>682</v>
      </c>
      <c r="C50" s="331">
        <v>90</v>
      </c>
      <c r="D50" s="332">
        <v>80</v>
      </c>
      <c r="E50" s="332">
        <v>95</v>
      </c>
      <c r="F50" s="332">
        <v>30</v>
      </c>
      <c r="G50" s="332">
        <v>50</v>
      </c>
      <c r="H50" s="332">
        <v>25</v>
      </c>
      <c r="I50" s="332">
        <v>30</v>
      </c>
      <c r="J50" s="332">
        <v>30</v>
      </c>
      <c r="K50" s="332">
        <v>25</v>
      </c>
      <c r="L50" s="332">
        <v>0</v>
      </c>
      <c r="M50" s="332">
        <v>0</v>
      </c>
      <c r="N50" s="333">
        <v>0</v>
      </c>
    </row>
    <row r="51" spans="2:14" ht="36">
      <c r="B51" s="350" t="s">
        <v>683</v>
      </c>
      <c r="C51" s="331"/>
      <c r="D51" s="332"/>
      <c r="E51" s="332"/>
      <c r="F51" s="332"/>
      <c r="G51" s="332"/>
      <c r="H51" s="332"/>
      <c r="I51" s="332"/>
      <c r="J51" s="332"/>
      <c r="K51" s="332"/>
      <c r="L51" s="332"/>
      <c r="M51" s="332"/>
      <c r="N51" s="333"/>
    </row>
    <row r="52" spans="2:14">
      <c r="B52" s="343" t="s">
        <v>684</v>
      </c>
      <c r="C52" s="331"/>
      <c r="D52" s="332"/>
      <c r="E52" s="332"/>
      <c r="F52" s="332"/>
      <c r="G52" s="332"/>
      <c r="H52" s="332"/>
      <c r="I52" s="332"/>
      <c r="J52" s="332"/>
      <c r="K52" s="332"/>
      <c r="L52" s="332"/>
      <c r="M52" s="332"/>
      <c r="N52" s="333"/>
    </row>
    <row r="53" spans="2:14">
      <c r="B53" s="343" t="s">
        <v>685</v>
      </c>
      <c r="C53" s="425">
        <f>540/3</f>
        <v>180</v>
      </c>
      <c r="D53" s="426">
        <v>180</v>
      </c>
      <c r="E53" s="426">
        <v>180</v>
      </c>
      <c r="F53" s="426">
        <v>170</v>
      </c>
      <c r="G53" s="426">
        <v>170</v>
      </c>
      <c r="H53" s="426">
        <v>210</v>
      </c>
      <c r="I53" s="426">
        <v>210</v>
      </c>
      <c r="J53" s="426">
        <v>0</v>
      </c>
      <c r="K53" s="426">
        <v>0</v>
      </c>
      <c r="L53" s="426">
        <v>63.3</v>
      </c>
      <c r="M53" s="426">
        <v>76.099999999999994</v>
      </c>
      <c r="N53" s="426">
        <v>59.5</v>
      </c>
    </row>
    <row r="54" spans="2:14" ht="18.75" thickBot="1">
      <c r="B54" s="343" t="s">
        <v>686</v>
      </c>
      <c r="C54" s="420">
        <f>115/3</f>
        <v>38.333333333333336</v>
      </c>
      <c r="D54" s="421">
        <v>38.333333333333336</v>
      </c>
      <c r="E54" s="421">
        <v>38.333333333333336</v>
      </c>
      <c r="F54" s="337">
        <v>0</v>
      </c>
      <c r="G54" s="337">
        <v>36</v>
      </c>
      <c r="H54" s="337">
        <v>45</v>
      </c>
      <c r="I54" s="332">
        <v>55</v>
      </c>
      <c r="J54" s="337">
        <v>60</v>
      </c>
      <c r="K54" s="337">
        <v>162</v>
      </c>
      <c r="L54" s="337"/>
      <c r="M54" s="337"/>
      <c r="N54" s="338"/>
    </row>
    <row r="55" spans="2:14" ht="18.75" thickBot="1">
      <c r="B55" s="8" t="s">
        <v>334</v>
      </c>
      <c r="C55" s="63">
        <f>IF(SUM(C44:C54)=0,"",SUM(C44:C54))</f>
        <v>2455.8490666666667</v>
      </c>
      <c r="D55" s="424">
        <f t="shared" ref="D55:M55" si="3">IF(SUM(D44:D54)=0,"",SUM(D44:D54))</f>
        <v>2443.8490666666667</v>
      </c>
      <c r="E55" s="424">
        <f t="shared" si="3"/>
        <v>2463.8490666666667</v>
      </c>
      <c r="F55" s="63">
        <f t="shared" si="3"/>
        <v>1294.1823999999999</v>
      </c>
      <c r="G55" s="63">
        <f t="shared" si="3"/>
        <v>1536</v>
      </c>
      <c r="H55" s="63">
        <f t="shared" si="3"/>
        <v>1585</v>
      </c>
      <c r="I55" s="63">
        <f t="shared" si="3"/>
        <v>2017</v>
      </c>
      <c r="J55" s="63">
        <f t="shared" si="3"/>
        <v>1673</v>
      </c>
      <c r="K55" s="63">
        <f t="shared" si="3"/>
        <v>2442</v>
      </c>
      <c r="L55" s="63">
        <f t="shared" si="3"/>
        <v>3253.3</v>
      </c>
      <c r="M55" s="63">
        <f t="shared" si="3"/>
        <v>1602.1</v>
      </c>
      <c r="N55" s="63">
        <f>IF(SUM(N44:N54)=0,"",SUM(N44:N54))</f>
        <v>1698.5</v>
      </c>
    </row>
    <row r="56" spans="2:14" ht="18.75" thickBot="1"/>
    <row r="57" spans="2:14" s="347" customFormat="1" ht="19.5" thickBot="1">
      <c r="B57" s="349" t="s">
        <v>687</v>
      </c>
      <c r="C57" s="346" t="s">
        <v>278</v>
      </c>
      <c r="D57" s="346" t="s">
        <v>279</v>
      </c>
      <c r="E57" s="346" t="s">
        <v>280</v>
      </c>
      <c r="F57" s="346" t="s">
        <v>281</v>
      </c>
      <c r="G57" s="346" t="s">
        <v>132</v>
      </c>
      <c r="H57" s="346" t="s">
        <v>282</v>
      </c>
      <c r="I57" s="346" t="s">
        <v>283</v>
      </c>
      <c r="J57" s="346" t="s">
        <v>284</v>
      </c>
      <c r="K57" s="346" t="s">
        <v>285</v>
      </c>
      <c r="L57" s="346" t="s">
        <v>286</v>
      </c>
      <c r="M57" s="346" t="s">
        <v>287</v>
      </c>
      <c r="N57" s="346" t="s">
        <v>288</v>
      </c>
    </row>
    <row r="58" spans="2:14">
      <c r="B58" s="342" t="s">
        <v>688</v>
      </c>
      <c r="C58" s="327"/>
      <c r="D58" s="328"/>
      <c r="E58" s="328"/>
      <c r="F58" s="328"/>
      <c r="G58" s="328"/>
      <c r="H58" s="328"/>
      <c r="I58" s="328"/>
      <c r="J58" s="328"/>
      <c r="K58" s="328"/>
      <c r="L58" s="328"/>
      <c r="M58" s="328"/>
      <c r="N58" s="329"/>
    </row>
    <row r="59" spans="2:14">
      <c r="B59" s="340" t="s">
        <v>689</v>
      </c>
      <c r="C59" s="331"/>
      <c r="D59" s="332"/>
      <c r="E59" s="332"/>
      <c r="F59" s="332"/>
      <c r="G59" s="332"/>
      <c r="H59" s="332"/>
      <c r="I59" s="332"/>
      <c r="J59" s="332"/>
      <c r="K59" s="332"/>
      <c r="L59" s="332"/>
      <c r="M59" s="332"/>
      <c r="N59" s="333"/>
    </row>
    <row r="60" spans="2:14">
      <c r="B60" s="340" t="s">
        <v>690</v>
      </c>
      <c r="C60" s="331"/>
      <c r="D60" s="332"/>
      <c r="E60" s="332"/>
      <c r="F60" s="332"/>
      <c r="G60" s="332"/>
      <c r="H60" s="332"/>
      <c r="I60" s="332"/>
      <c r="J60" s="332"/>
      <c r="K60" s="332"/>
      <c r="L60" s="332"/>
      <c r="M60" s="332"/>
      <c r="N60" s="333"/>
    </row>
    <row r="61" spans="2:14" ht="18.75" thickBot="1">
      <c r="B61" s="340" t="s">
        <v>670</v>
      </c>
      <c r="C61" s="336"/>
      <c r="D61" s="337"/>
      <c r="E61" s="337"/>
      <c r="F61" s="337"/>
      <c r="G61" s="337"/>
      <c r="H61" s="337"/>
      <c r="I61" s="337"/>
      <c r="J61" s="337"/>
      <c r="K61" s="337"/>
      <c r="L61" s="337"/>
      <c r="M61" s="337"/>
      <c r="N61" s="338"/>
    </row>
    <row r="62" spans="2:14" ht="18.75" thickBot="1">
      <c r="B62" s="8" t="s">
        <v>334</v>
      </c>
      <c r="C62" s="63" t="str">
        <f>IF(SUM(C58:C61)=0,"",SUM(C58:C61))</f>
        <v/>
      </c>
      <c r="D62" s="63" t="str">
        <f t="shared" ref="D62:N62" si="4">IF(SUM(D58:D61)=0,"",SUM(D58:D61))</f>
        <v/>
      </c>
      <c r="E62" s="63" t="str">
        <f t="shared" si="4"/>
        <v/>
      </c>
      <c r="F62" s="63" t="str">
        <f t="shared" si="4"/>
        <v/>
      </c>
      <c r="G62" s="63" t="str">
        <f t="shared" si="4"/>
        <v/>
      </c>
      <c r="H62" s="63" t="str">
        <f t="shared" si="4"/>
        <v/>
      </c>
      <c r="I62" s="63" t="str">
        <f t="shared" si="4"/>
        <v/>
      </c>
      <c r="J62" s="63" t="str">
        <f t="shared" si="4"/>
        <v/>
      </c>
      <c r="K62" s="63" t="str">
        <f t="shared" si="4"/>
        <v/>
      </c>
      <c r="L62" s="63" t="str">
        <f t="shared" si="4"/>
        <v/>
      </c>
      <c r="M62" s="63" t="str">
        <f t="shared" si="4"/>
        <v/>
      </c>
      <c r="N62" s="63" t="str">
        <f t="shared" si="4"/>
        <v/>
      </c>
    </row>
    <row r="63" spans="2:14" ht="18.75" thickBot="1"/>
    <row r="64" spans="2:14" s="347" customFormat="1" ht="19.5" thickBot="1">
      <c r="B64" s="349" t="s">
        <v>575</v>
      </c>
      <c r="C64" s="346" t="s">
        <v>278</v>
      </c>
      <c r="D64" s="346" t="s">
        <v>279</v>
      </c>
      <c r="E64" s="346" t="s">
        <v>280</v>
      </c>
      <c r="F64" s="346" t="s">
        <v>281</v>
      </c>
      <c r="G64" s="346" t="s">
        <v>132</v>
      </c>
      <c r="H64" s="346" t="s">
        <v>282</v>
      </c>
      <c r="I64" s="346" t="s">
        <v>283</v>
      </c>
      <c r="J64" s="346" t="s">
        <v>284</v>
      </c>
      <c r="K64" s="346" t="s">
        <v>285</v>
      </c>
      <c r="L64" s="346" t="s">
        <v>286</v>
      </c>
      <c r="M64" s="346" t="s">
        <v>287</v>
      </c>
      <c r="N64" s="346" t="s">
        <v>288</v>
      </c>
    </row>
    <row r="65" spans="1:14">
      <c r="B65" s="342" t="s">
        <v>691</v>
      </c>
      <c r="C65" s="327"/>
      <c r="D65" s="328"/>
      <c r="E65" s="328"/>
      <c r="F65" s="328"/>
      <c r="G65" s="328"/>
      <c r="H65" s="328"/>
      <c r="I65" s="328"/>
      <c r="J65" s="328"/>
      <c r="K65" s="328"/>
      <c r="L65" s="328"/>
      <c r="M65" s="328"/>
      <c r="N65" s="329"/>
    </row>
    <row r="66" spans="1:14">
      <c r="B66" s="340" t="s">
        <v>692</v>
      </c>
      <c r="C66" s="331"/>
      <c r="D66" s="332"/>
      <c r="E66" s="332"/>
      <c r="F66" s="332"/>
      <c r="G66" s="332"/>
      <c r="H66" s="332"/>
      <c r="I66" s="332"/>
      <c r="J66" s="332"/>
      <c r="K66" s="332"/>
      <c r="L66" s="332"/>
      <c r="M66" s="332"/>
      <c r="N66" s="333"/>
    </row>
    <row r="67" spans="1:14">
      <c r="B67" s="343" t="s">
        <v>656</v>
      </c>
      <c r="C67" s="331"/>
      <c r="D67" s="332"/>
      <c r="E67" s="332"/>
      <c r="F67" s="332"/>
      <c r="G67" s="332"/>
      <c r="H67" s="332"/>
      <c r="I67" s="332"/>
      <c r="J67" s="332"/>
      <c r="K67" s="332"/>
      <c r="L67" s="332"/>
      <c r="M67" s="332"/>
      <c r="N67" s="333"/>
    </row>
    <row r="68" spans="1:14" ht="18.75" thickBot="1">
      <c r="B68" s="343" t="s">
        <v>693</v>
      </c>
      <c r="C68" s="336"/>
      <c r="D68" s="337"/>
      <c r="E68" s="337"/>
      <c r="F68" s="337"/>
      <c r="G68" s="337"/>
      <c r="H68" s="337"/>
      <c r="I68" s="337"/>
      <c r="J68" s="337"/>
      <c r="K68" s="337"/>
      <c r="L68" s="337"/>
      <c r="M68" s="337"/>
      <c r="N68" s="338"/>
    </row>
    <row r="69" spans="1:14" ht="18.75" thickBot="1">
      <c r="B69" s="8" t="s">
        <v>334</v>
      </c>
      <c r="C69" s="63" t="str">
        <f>IF(SUM(C65:C68)=0,"",SUM(C65:C68))</f>
        <v/>
      </c>
      <c r="D69" s="63" t="str">
        <f t="shared" ref="D69:N69" si="5">IF(SUM(D65:D68)=0,"",SUM(D65:D68))</f>
        <v/>
      </c>
      <c r="E69" s="63" t="str">
        <f t="shared" si="5"/>
        <v/>
      </c>
      <c r="F69" s="63" t="str">
        <f t="shared" si="5"/>
        <v/>
      </c>
      <c r="G69" s="63" t="str">
        <f t="shared" si="5"/>
        <v/>
      </c>
      <c r="H69" s="63" t="str">
        <f t="shared" si="5"/>
        <v/>
      </c>
      <c r="I69" s="63" t="str">
        <f t="shared" si="5"/>
        <v/>
      </c>
      <c r="J69" s="63" t="str">
        <f t="shared" si="5"/>
        <v/>
      </c>
      <c r="K69" s="63" t="str">
        <f t="shared" si="5"/>
        <v/>
      </c>
      <c r="L69" s="63" t="str">
        <f t="shared" si="5"/>
        <v/>
      </c>
      <c r="M69" s="63" t="str">
        <f t="shared" si="5"/>
        <v/>
      </c>
      <c r="N69" s="63" t="str">
        <f t="shared" si="5"/>
        <v/>
      </c>
    </row>
    <row r="70" spans="1:14" ht="18.75" thickBot="1"/>
    <row r="71" spans="1:14" ht="19.5" thickBot="1">
      <c r="B71" s="349" t="s">
        <v>694</v>
      </c>
      <c r="C71" s="63" t="s">
        <v>278</v>
      </c>
      <c r="D71" s="63" t="s">
        <v>279</v>
      </c>
      <c r="E71" s="63" t="s">
        <v>280</v>
      </c>
      <c r="F71" s="63" t="s">
        <v>281</v>
      </c>
      <c r="G71" s="63" t="s">
        <v>132</v>
      </c>
      <c r="H71" s="63" t="s">
        <v>282</v>
      </c>
      <c r="I71" s="63" t="s">
        <v>283</v>
      </c>
      <c r="J71" s="63" t="s">
        <v>284</v>
      </c>
      <c r="K71" s="63" t="s">
        <v>285</v>
      </c>
      <c r="L71" s="63" t="s">
        <v>286</v>
      </c>
      <c r="M71" s="63" t="s">
        <v>287</v>
      </c>
      <c r="N71" s="63" t="s">
        <v>288</v>
      </c>
    </row>
    <row r="72" spans="1:14">
      <c r="B72" s="342" t="s">
        <v>695</v>
      </c>
      <c r="C72" s="327"/>
      <c r="D72" s="328"/>
      <c r="E72" s="328"/>
      <c r="F72" s="328"/>
      <c r="G72" s="328"/>
      <c r="H72" s="328"/>
      <c r="I72" s="328"/>
      <c r="J72" s="328"/>
      <c r="K72" s="328"/>
      <c r="L72" s="328"/>
      <c r="M72" s="328"/>
      <c r="N72" s="329"/>
    </row>
    <row r="73" spans="1:14" ht="18.75" thickBot="1">
      <c r="B73" s="345" t="s">
        <v>696</v>
      </c>
      <c r="C73" s="336"/>
      <c r="D73" s="337"/>
      <c r="E73" s="337"/>
      <c r="F73" s="337"/>
      <c r="G73" s="337"/>
      <c r="H73" s="337"/>
      <c r="I73" s="337"/>
      <c r="J73" s="337"/>
      <c r="K73" s="337"/>
      <c r="L73" s="337"/>
      <c r="M73" s="337"/>
      <c r="N73" s="338"/>
    </row>
    <row r="74" spans="1:14" ht="18.75" thickBot="1"/>
    <row r="75" spans="1:14" ht="19.5" thickBot="1">
      <c r="B75" s="349" t="s">
        <v>697</v>
      </c>
      <c r="C75" s="63" t="s">
        <v>278</v>
      </c>
      <c r="D75" s="63" t="s">
        <v>279</v>
      </c>
      <c r="E75" s="63" t="s">
        <v>280</v>
      </c>
      <c r="F75" s="63" t="s">
        <v>281</v>
      </c>
      <c r="G75" s="63" t="s">
        <v>132</v>
      </c>
      <c r="H75" s="63" t="s">
        <v>282</v>
      </c>
      <c r="I75" s="63" t="s">
        <v>283</v>
      </c>
      <c r="J75" s="63" t="s">
        <v>284</v>
      </c>
      <c r="K75" s="63" t="s">
        <v>285</v>
      </c>
      <c r="L75" s="63" t="s">
        <v>286</v>
      </c>
      <c r="M75" s="63" t="s">
        <v>287</v>
      </c>
      <c r="N75" s="63" t="s">
        <v>288</v>
      </c>
    </row>
    <row r="76" spans="1:14" ht="54">
      <c r="A76" s="880" t="s">
        <v>338</v>
      </c>
      <c r="B76" s="326" t="s">
        <v>696</v>
      </c>
      <c r="C76" s="436"/>
      <c r="D76" s="437" t="s">
        <v>698</v>
      </c>
      <c r="E76" s="437" t="s">
        <v>699</v>
      </c>
      <c r="F76" s="438" t="s">
        <v>700</v>
      </c>
      <c r="G76" s="438" t="s">
        <v>701</v>
      </c>
      <c r="H76" s="438" t="s">
        <v>702</v>
      </c>
      <c r="I76" s="437" t="s">
        <v>703</v>
      </c>
      <c r="J76" s="438"/>
      <c r="K76" s="438"/>
      <c r="L76" s="438" t="s">
        <v>704</v>
      </c>
      <c r="M76" s="437" t="s">
        <v>705</v>
      </c>
      <c r="N76" s="439"/>
    </row>
    <row r="77" spans="1:14" ht="36">
      <c r="A77" s="882" t="s">
        <v>706</v>
      </c>
      <c r="B77" s="418" t="s">
        <v>696</v>
      </c>
      <c r="C77" s="440"/>
      <c r="D77" s="441"/>
      <c r="E77" s="441" t="s">
        <v>707</v>
      </c>
      <c r="F77" s="442" t="s">
        <v>708</v>
      </c>
      <c r="G77" s="442"/>
      <c r="H77" s="442" t="s">
        <v>709</v>
      </c>
      <c r="I77" s="457"/>
      <c r="J77" s="442"/>
      <c r="K77" s="442"/>
      <c r="L77" s="442"/>
      <c r="M77" s="442"/>
      <c r="N77" s="443"/>
    </row>
    <row r="78" spans="1:14" ht="18.75" thickBot="1">
      <c r="A78" t="s">
        <v>81</v>
      </c>
      <c r="B78" s="419" t="s">
        <v>696</v>
      </c>
      <c r="C78" s="444"/>
      <c r="D78" s="445"/>
      <c r="E78" s="446"/>
      <c r="F78" s="446"/>
      <c r="G78" s="446"/>
      <c r="H78" s="446"/>
      <c r="I78" s="446"/>
      <c r="J78" s="446"/>
      <c r="K78" s="446"/>
      <c r="L78" s="446"/>
      <c r="M78" s="446"/>
      <c r="N78" s="447"/>
    </row>
    <row r="80" spans="1:14">
      <c r="B80" s="324" t="s">
        <v>710</v>
      </c>
    </row>
    <row r="81" spans="1:32">
      <c r="B81" s="324" t="s">
        <v>711</v>
      </c>
    </row>
    <row r="82" spans="1:32">
      <c r="B82" s="324" t="s">
        <v>712</v>
      </c>
    </row>
    <row r="83" spans="1:32">
      <c r="B83" s="324" t="s">
        <v>713</v>
      </c>
    </row>
    <row r="84" spans="1:32">
      <c r="B84" s="324" t="s">
        <v>714</v>
      </c>
    </row>
    <row r="88" spans="1:32" ht="32.25" customHeight="1" thickBot="1">
      <c r="A88" s="1933">
        <v>2024</v>
      </c>
    </row>
    <row r="89" spans="1:32" s="347" customFormat="1" ht="19.5" thickBot="1">
      <c r="A89" s="1933"/>
      <c r="B89" s="2046" t="s">
        <v>644</v>
      </c>
      <c r="C89" s="2045" t="s">
        <v>278</v>
      </c>
      <c r="D89" s="2045"/>
      <c r="E89" s="2045" t="s">
        <v>279</v>
      </c>
      <c r="F89" s="2045"/>
      <c r="G89" s="2045" t="s">
        <v>280</v>
      </c>
      <c r="H89" s="2045"/>
      <c r="I89" s="2045" t="s">
        <v>281</v>
      </c>
      <c r="J89" s="2045"/>
      <c r="K89" s="2045" t="s">
        <v>132</v>
      </c>
      <c r="L89" s="2045"/>
      <c r="M89" s="2045" t="s">
        <v>282</v>
      </c>
      <c r="N89" s="2045"/>
      <c r="O89" s="2045" t="s">
        <v>283</v>
      </c>
      <c r="P89" s="2045"/>
      <c r="Q89" s="2045" t="s">
        <v>284</v>
      </c>
      <c r="R89" s="2045"/>
      <c r="S89" s="2045" t="s">
        <v>285</v>
      </c>
      <c r="T89" s="2045"/>
      <c r="U89" s="2045" t="s">
        <v>286</v>
      </c>
      <c r="V89" s="2045"/>
      <c r="W89" s="2045" t="s">
        <v>287</v>
      </c>
      <c r="X89" s="2045"/>
      <c r="Y89" s="2045" t="s">
        <v>288</v>
      </c>
      <c r="Z89" s="2045"/>
    </row>
    <row r="90" spans="1:32" s="347" customFormat="1" ht="18.75">
      <c r="B90" s="2047"/>
      <c r="C90" s="348" t="s">
        <v>308</v>
      </c>
      <c r="D90" s="348" t="s">
        <v>199</v>
      </c>
      <c r="E90" s="348" t="s">
        <v>308</v>
      </c>
      <c r="F90" s="348" t="s">
        <v>199</v>
      </c>
      <c r="G90" s="348" t="s">
        <v>308</v>
      </c>
      <c r="H90" s="348" t="s">
        <v>199</v>
      </c>
      <c r="I90" s="348" t="s">
        <v>308</v>
      </c>
      <c r="J90" s="348" t="s">
        <v>199</v>
      </c>
      <c r="K90" s="348" t="s">
        <v>308</v>
      </c>
      <c r="L90" s="348" t="s">
        <v>199</v>
      </c>
      <c r="M90" s="348" t="s">
        <v>308</v>
      </c>
      <c r="N90" s="348" t="s">
        <v>199</v>
      </c>
      <c r="O90" s="348" t="s">
        <v>308</v>
      </c>
      <c r="P90" s="348" t="s">
        <v>199</v>
      </c>
      <c r="Q90" s="348" t="s">
        <v>308</v>
      </c>
      <c r="R90" s="348" t="s">
        <v>199</v>
      </c>
      <c r="S90" s="348" t="s">
        <v>308</v>
      </c>
      <c r="T90" s="348" t="s">
        <v>199</v>
      </c>
      <c r="U90" s="348" t="s">
        <v>308</v>
      </c>
      <c r="V90" s="348" t="s">
        <v>199</v>
      </c>
      <c r="W90" s="348" t="s">
        <v>308</v>
      </c>
      <c r="X90" s="348" t="s">
        <v>199</v>
      </c>
      <c r="Y90" s="348" t="s">
        <v>308</v>
      </c>
      <c r="Z90" s="348" t="s">
        <v>199</v>
      </c>
    </row>
    <row r="91" spans="1:32">
      <c r="A91" s="880" t="s">
        <v>338</v>
      </c>
      <c r="B91" s="479" t="s">
        <v>645</v>
      </c>
      <c r="C91" s="327"/>
      <c r="D91" s="328"/>
      <c r="E91" s="328"/>
      <c r="F91" s="328"/>
      <c r="G91" s="328"/>
      <c r="H91" s="328"/>
      <c r="I91" s="328"/>
      <c r="J91" s="328"/>
      <c r="K91" s="328"/>
      <c r="L91" s="328"/>
      <c r="M91" s="328"/>
      <c r="N91" s="328"/>
      <c r="O91" s="328"/>
      <c r="P91" s="328"/>
      <c r="Q91" s="328"/>
      <c r="R91" s="328"/>
      <c r="S91" s="328"/>
      <c r="T91" s="328"/>
      <c r="U91" s="328"/>
      <c r="V91" s="328"/>
      <c r="W91" s="328"/>
      <c r="X91" s="328"/>
      <c r="Y91" s="328"/>
      <c r="Z91" s="329"/>
      <c r="AE91" s="325">
        <v>4.78</v>
      </c>
      <c r="AF91" s="325" t="s">
        <v>646</v>
      </c>
    </row>
    <row r="92" spans="1:32">
      <c r="A92" s="882" t="s">
        <v>196</v>
      </c>
      <c r="B92" s="330" t="s">
        <v>647</v>
      </c>
      <c r="C92" s="331"/>
      <c r="D92" s="332"/>
      <c r="E92" s="332"/>
      <c r="F92" s="332"/>
      <c r="G92" s="332"/>
      <c r="H92" s="332"/>
      <c r="I92" s="332"/>
      <c r="J92" s="332"/>
      <c r="K92" s="332"/>
      <c r="L92" s="332"/>
      <c r="M92" s="332"/>
      <c r="N92" s="332"/>
      <c r="O92" s="332"/>
      <c r="P92" s="332"/>
      <c r="Q92" s="332"/>
      <c r="R92" s="332"/>
      <c r="S92" s="332"/>
      <c r="T92" s="332"/>
      <c r="U92" s="332"/>
      <c r="V92" s="332"/>
      <c r="W92" s="332"/>
      <c r="X92" s="332"/>
      <c r="Y92" s="332"/>
      <c r="Z92" s="333"/>
    </row>
    <row r="93" spans="1:32">
      <c r="A93" t="s">
        <v>241</v>
      </c>
      <c r="B93" s="334" t="s">
        <v>648</v>
      </c>
      <c r="C93" s="331"/>
      <c r="D93" s="332"/>
      <c r="E93" s="332"/>
      <c r="F93" s="332"/>
      <c r="G93" s="332"/>
      <c r="H93" s="332"/>
      <c r="I93" s="332"/>
      <c r="J93" s="332"/>
      <c r="K93" s="332"/>
      <c r="L93" s="332"/>
      <c r="M93" s="332"/>
      <c r="N93" s="332"/>
      <c r="O93" s="332"/>
      <c r="P93" s="332"/>
      <c r="Q93" s="332"/>
      <c r="R93" s="332"/>
      <c r="S93" s="332"/>
      <c r="T93" s="332"/>
      <c r="U93" s="332"/>
      <c r="V93" s="332"/>
      <c r="W93" s="332"/>
      <c r="X93" s="332"/>
      <c r="Y93" s="332"/>
      <c r="Z93" s="333"/>
    </row>
    <row r="94" spans="1:32">
      <c r="B94" s="330" t="s">
        <v>649</v>
      </c>
      <c r="C94" s="331"/>
      <c r="D94" s="332"/>
      <c r="E94" s="332"/>
      <c r="F94" s="332"/>
      <c r="G94" s="332"/>
      <c r="H94" s="332"/>
      <c r="I94" s="332"/>
      <c r="J94" s="332"/>
      <c r="K94" s="332"/>
      <c r="L94" s="332"/>
      <c r="M94" s="332"/>
      <c r="N94" s="332"/>
      <c r="O94" s="332"/>
      <c r="P94" s="332"/>
      <c r="Q94" s="332"/>
      <c r="R94" s="332"/>
      <c r="S94" s="332"/>
      <c r="T94" s="332"/>
      <c r="U94" s="332"/>
      <c r="V94" s="332"/>
      <c r="W94" s="332"/>
      <c r="X94" s="332"/>
      <c r="Y94" s="332"/>
      <c r="Z94" s="333"/>
    </row>
    <row r="95" spans="1:32">
      <c r="B95" s="334" t="s">
        <v>650</v>
      </c>
      <c r="C95" s="331">
        <v>15</v>
      </c>
      <c r="D95" s="332">
        <v>0.27</v>
      </c>
      <c r="E95" s="332"/>
      <c r="F95" s="332"/>
      <c r="G95" s="332"/>
      <c r="H95" s="332"/>
      <c r="I95" s="332"/>
      <c r="J95" s="332"/>
      <c r="K95" s="332"/>
      <c r="L95" s="332"/>
      <c r="M95" s="332"/>
      <c r="N95" s="332"/>
      <c r="O95" s="332"/>
      <c r="P95" s="332"/>
      <c r="Q95" s="332"/>
      <c r="R95" s="332"/>
      <c r="S95" s="332"/>
      <c r="T95" s="332"/>
      <c r="U95" s="332"/>
      <c r="V95" s="332"/>
      <c r="W95" s="332"/>
      <c r="X95" s="332"/>
      <c r="Y95" s="332"/>
      <c r="Z95" s="333"/>
    </row>
    <row r="96" spans="1:32">
      <c r="B96" s="334" t="s">
        <v>651</v>
      </c>
      <c r="C96" s="331">
        <v>1</v>
      </c>
      <c r="D96" s="332">
        <v>0.45</v>
      </c>
      <c r="E96" s="332"/>
      <c r="F96" s="332"/>
      <c r="G96" s="332"/>
      <c r="H96" s="332"/>
      <c r="I96" s="332"/>
      <c r="J96" s="332"/>
      <c r="K96" s="332"/>
      <c r="L96" s="332"/>
      <c r="M96" s="332"/>
      <c r="N96" s="332"/>
      <c r="O96" s="332"/>
      <c r="P96" s="332"/>
      <c r="Q96" s="332"/>
      <c r="R96" s="332"/>
      <c r="S96" s="332"/>
      <c r="T96" s="332"/>
      <c r="U96" s="332"/>
      <c r="V96" s="332"/>
      <c r="W96" s="332"/>
      <c r="X96" s="332"/>
      <c r="Y96" s="332"/>
      <c r="Z96" s="333"/>
    </row>
    <row r="97" spans="2:26">
      <c r="B97" s="334" t="s">
        <v>652</v>
      </c>
      <c r="C97" s="331"/>
      <c r="D97" s="332"/>
      <c r="E97" s="332"/>
      <c r="F97" s="332"/>
      <c r="G97" s="332"/>
      <c r="H97" s="332"/>
      <c r="I97" s="332"/>
      <c r="J97" s="332"/>
      <c r="K97" s="332"/>
      <c r="L97" s="332"/>
      <c r="M97" s="332"/>
      <c r="N97" s="332"/>
      <c r="O97" s="332"/>
      <c r="P97" s="332"/>
      <c r="Q97" s="332"/>
      <c r="R97" s="332"/>
      <c r="S97" s="332"/>
      <c r="T97" s="332"/>
      <c r="U97" s="332"/>
      <c r="V97" s="332"/>
      <c r="W97" s="332"/>
      <c r="X97" s="332"/>
      <c r="Y97" s="332"/>
      <c r="Z97" s="333"/>
    </row>
    <row r="98" spans="2:26">
      <c r="B98" s="335" t="s">
        <v>653</v>
      </c>
      <c r="C98" s="331"/>
      <c r="D98" s="332"/>
      <c r="E98" s="332"/>
      <c r="F98" s="332"/>
      <c r="G98" s="332"/>
      <c r="H98" s="332"/>
      <c r="I98" s="332"/>
      <c r="J98" s="332"/>
      <c r="K98" s="332"/>
      <c r="L98" s="332"/>
      <c r="M98" s="332"/>
      <c r="N98" s="332"/>
      <c r="O98" s="332"/>
      <c r="P98" s="332"/>
      <c r="Q98" s="332"/>
      <c r="R98" s="332"/>
      <c r="S98" s="332"/>
      <c r="T98" s="332"/>
      <c r="U98" s="332"/>
      <c r="V98" s="332"/>
      <c r="W98" s="332"/>
      <c r="X98" s="332"/>
      <c r="Y98" s="332"/>
      <c r="Z98" s="333"/>
    </row>
    <row r="99" spans="2:26">
      <c r="B99" s="335" t="s">
        <v>654</v>
      </c>
      <c r="C99" s="331"/>
      <c r="D99" s="332"/>
      <c r="E99" s="332"/>
      <c r="F99" s="332"/>
      <c r="G99" s="332"/>
      <c r="H99" s="332"/>
      <c r="I99" s="332"/>
      <c r="J99" s="332"/>
      <c r="K99" s="332"/>
      <c r="L99" s="332"/>
      <c r="M99" s="332"/>
      <c r="N99" s="332"/>
      <c r="O99" s="332"/>
      <c r="P99" s="332"/>
      <c r="Q99" s="332"/>
      <c r="R99" s="332"/>
      <c r="S99" s="332"/>
      <c r="T99" s="332"/>
      <c r="U99" s="332"/>
      <c r="V99" s="332"/>
      <c r="W99" s="332"/>
      <c r="X99" s="332"/>
      <c r="Y99" s="332"/>
      <c r="Z99" s="333"/>
    </row>
    <row r="100" spans="2:26">
      <c r="B100" s="335" t="s">
        <v>655</v>
      </c>
      <c r="C100" s="331"/>
      <c r="D100" s="332"/>
      <c r="E100" s="332"/>
      <c r="F100" s="332"/>
      <c r="G100" s="332"/>
      <c r="H100" s="332"/>
      <c r="I100" s="332"/>
      <c r="J100" s="332"/>
      <c r="K100" s="332"/>
      <c r="L100" s="332"/>
      <c r="M100" s="332"/>
      <c r="N100" s="332"/>
      <c r="O100" s="332"/>
      <c r="P100" s="332"/>
      <c r="Q100" s="332"/>
      <c r="R100" s="332"/>
      <c r="S100" s="332"/>
      <c r="T100" s="332"/>
      <c r="U100" s="332"/>
      <c r="V100" s="332"/>
      <c r="W100" s="332"/>
      <c r="X100" s="332"/>
      <c r="Y100" s="332"/>
      <c r="Z100" s="333"/>
    </row>
    <row r="101" spans="2:26">
      <c r="B101" s="335" t="s">
        <v>656</v>
      </c>
      <c r="C101" s="331"/>
      <c r="D101" s="332"/>
      <c r="E101" s="332"/>
      <c r="F101" s="332"/>
      <c r="G101" s="332"/>
      <c r="H101" s="332"/>
      <c r="I101" s="332"/>
      <c r="J101" s="332"/>
      <c r="K101" s="332"/>
      <c r="L101" s="332"/>
      <c r="M101" s="332"/>
      <c r="N101" s="332"/>
      <c r="O101" s="332"/>
      <c r="P101" s="332"/>
      <c r="Q101" s="332"/>
      <c r="R101" s="332"/>
      <c r="S101" s="332"/>
      <c r="T101" s="332"/>
      <c r="U101" s="332"/>
      <c r="V101" s="332"/>
      <c r="W101" s="332"/>
      <c r="X101" s="332"/>
      <c r="Y101" s="332"/>
      <c r="Z101" s="333"/>
    </row>
    <row r="102" spans="2:26">
      <c r="B102" s="478" t="s">
        <v>657</v>
      </c>
      <c r="C102" s="331">
        <v>1</v>
      </c>
      <c r="D102" s="332">
        <v>4312</v>
      </c>
      <c r="E102" s="332"/>
      <c r="F102" s="332"/>
      <c r="G102" s="332"/>
      <c r="H102" s="332"/>
      <c r="I102" s="332"/>
      <c r="J102" s="332"/>
      <c r="K102" s="332"/>
      <c r="L102" s="332"/>
      <c r="M102" s="332"/>
      <c r="N102" s="332"/>
      <c r="O102" s="332"/>
      <c r="P102" s="332"/>
      <c r="Q102" s="332"/>
      <c r="R102" s="332"/>
      <c r="S102" s="332"/>
      <c r="T102" s="332"/>
      <c r="U102" s="332"/>
      <c r="V102" s="332"/>
      <c r="W102" s="332"/>
      <c r="X102" s="332"/>
      <c r="Y102" s="332"/>
      <c r="Z102" s="333"/>
    </row>
    <row r="103" spans="2:26">
      <c r="B103" s="477" t="s">
        <v>658</v>
      </c>
      <c r="C103" s="336"/>
      <c r="D103" s="337"/>
      <c r="E103" s="337"/>
      <c r="F103" s="337"/>
      <c r="G103" s="337"/>
      <c r="H103" s="337"/>
      <c r="I103" s="337"/>
      <c r="J103" s="337"/>
      <c r="K103" s="337"/>
      <c r="L103" s="337"/>
      <c r="M103" s="337"/>
      <c r="N103" s="337"/>
      <c r="O103" s="337"/>
      <c r="P103" s="337"/>
      <c r="Q103" s="337"/>
      <c r="R103" s="337"/>
      <c r="S103" s="337"/>
      <c r="T103" s="337"/>
      <c r="U103" s="337"/>
      <c r="V103" s="337"/>
      <c r="W103" s="337"/>
      <c r="X103" s="337"/>
      <c r="Y103" s="337"/>
      <c r="Z103" s="338"/>
    </row>
    <row r="104" spans="2:26" ht="18.75" thickBot="1">
      <c r="B104" s="8" t="s">
        <v>334</v>
      </c>
      <c r="C104" s="45">
        <f>IF(SUM(C91:C101)=0,"",SUM(C91:C101))</f>
        <v>16</v>
      </c>
      <c r="D104" s="45">
        <f t="shared" ref="D104:Z104" si="6">IF(SUM(D91:D101)=0,"",SUM(D91:D101))</f>
        <v>0.72</v>
      </c>
      <c r="E104" s="45" t="str">
        <f t="shared" si="6"/>
        <v/>
      </c>
      <c r="F104" s="45" t="str">
        <f t="shared" si="6"/>
        <v/>
      </c>
      <c r="G104" s="45" t="str">
        <f t="shared" si="6"/>
        <v/>
      </c>
      <c r="H104" s="45" t="str">
        <f t="shared" si="6"/>
        <v/>
      </c>
      <c r="I104" s="45" t="str">
        <f t="shared" si="6"/>
        <v/>
      </c>
      <c r="J104" s="45" t="str">
        <f t="shared" si="6"/>
        <v/>
      </c>
      <c r="K104" s="45" t="str">
        <f t="shared" si="6"/>
        <v/>
      </c>
      <c r="L104" s="45" t="str">
        <f t="shared" si="6"/>
        <v/>
      </c>
      <c r="M104" s="45" t="str">
        <f t="shared" si="6"/>
        <v/>
      </c>
      <c r="N104" s="45" t="str">
        <f t="shared" si="6"/>
        <v/>
      </c>
      <c r="O104" s="45" t="str">
        <f t="shared" si="6"/>
        <v/>
      </c>
      <c r="P104" s="45" t="str">
        <f t="shared" si="6"/>
        <v/>
      </c>
      <c r="Q104" s="45" t="str">
        <f t="shared" si="6"/>
        <v/>
      </c>
      <c r="R104" s="45" t="str">
        <f t="shared" si="6"/>
        <v/>
      </c>
      <c r="S104" s="45" t="str">
        <f t="shared" si="6"/>
        <v/>
      </c>
      <c r="T104" s="45" t="str">
        <f t="shared" si="6"/>
        <v/>
      </c>
      <c r="U104" s="45" t="str">
        <f t="shared" si="6"/>
        <v/>
      </c>
      <c r="V104" s="45" t="str">
        <f t="shared" si="6"/>
        <v/>
      </c>
      <c r="W104" s="45" t="str">
        <f t="shared" si="6"/>
        <v/>
      </c>
      <c r="X104" s="45" t="str">
        <f t="shared" si="6"/>
        <v/>
      </c>
      <c r="Y104" s="45" t="str">
        <f t="shared" si="6"/>
        <v/>
      </c>
      <c r="Z104" s="45" t="str">
        <f t="shared" si="6"/>
        <v/>
      </c>
    </row>
    <row r="105" spans="2:26" ht="18.75" thickBot="1"/>
    <row r="106" spans="2:26" s="347" customFormat="1" ht="19.5" thickBot="1">
      <c r="B106" s="349" t="s">
        <v>659</v>
      </c>
      <c r="C106" s="346" t="s">
        <v>278</v>
      </c>
      <c r="D106" s="346" t="s">
        <v>279</v>
      </c>
      <c r="E106" s="346" t="s">
        <v>280</v>
      </c>
      <c r="F106" s="346" t="s">
        <v>281</v>
      </c>
      <c r="G106" s="346" t="s">
        <v>132</v>
      </c>
      <c r="H106" s="346" t="s">
        <v>282</v>
      </c>
      <c r="I106" s="346" t="s">
        <v>283</v>
      </c>
      <c r="J106" s="346" t="s">
        <v>284</v>
      </c>
      <c r="K106" s="346" t="s">
        <v>285</v>
      </c>
      <c r="L106" s="346" t="s">
        <v>286</v>
      </c>
      <c r="M106" s="346" t="s">
        <v>287</v>
      </c>
      <c r="N106" s="346" t="s">
        <v>288</v>
      </c>
    </row>
    <row r="107" spans="2:26">
      <c r="B107" s="339" t="s">
        <v>660</v>
      </c>
      <c r="C107" s="427">
        <f>Energy!Q50</f>
        <v>14735.02</v>
      </c>
      <c r="D107" s="428">
        <f>Energy!Q51</f>
        <v>0</v>
      </c>
      <c r="E107" s="428">
        <f>Energy!Q52</f>
        <v>0</v>
      </c>
      <c r="F107" s="428">
        <f>Energy!Q53</f>
        <v>0</v>
      </c>
      <c r="G107" s="428">
        <f>Energy!Q54</f>
        <v>0</v>
      </c>
      <c r="H107" s="428">
        <f>Energy!Q55</f>
        <v>0</v>
      </c>
      <c r="I107" s="428">
        <f>Energy!Q56</f>
        <v>0</v>
      </c>
      <c r="J107" s="428">
        <f>Energy!Q57</f>
        <v>0</v>
      </c>
      <c r="K107" s="428">
        <f>Energy!Q58</f>
        <v>0</v>
      </c>
      <c r="L107" s="428">
        <f>Energy!Q59</f>
        <v>0</v>
      </c>
      <c r="M107" s="428">
        <f>Energy!Q60</f>
        <v>0</v>
      </c>
      <c r="N107" s="429">
        <f>Energy!Q61</f>
        <v>0</v>
      </c>
    </row>
    <row r="108" spans="2:26">
      <c r="B108" s="340" t="s">
        <v>661</v>
      </c>
      <c r="C108" s="331">
        <f>Energy!R50</f>
        <v>0</v>
      </c>
      <c r="D108" s="332">
        <f>Energy!R51</f>
        <v>0</v>
      </c>
      <c r="E108" s="332">
        <f>Energy!R52</f>
        <v>0</v>
      </c>
      <c r="F108" s="332">
        <f>Energy!R53</f>
        <v>0</v>
      </c>
      <c r="G108" s="332">
        <f>Energy!R54</f>
        <v>0</v>
      </c>
      <c r="H108" s="332">
        <f>Energy!R55</f>
        <v>0</v>
      </c>
      <c r="I108" s="332">
        <f>Energy!R56</f>
        <v>0</v>
      </c>
      <c r="J108" s="332">
        <f>Energy!R57</f>
        <v>0</v>
      </c>
      <c r="K108" s="332">
        <f>Energy!R58</f>
        <v>0</v>
      </c>
      <c r="L108" s="332">
        <f>Energy!R59</f>
        <v>0</v>
      </c>
      <c r="M108" s="332">
        <f>Energy!R60</f>
        <v>0</v>
      </c>
      <c r="N108" s="333">
        <f>Energy!R61</f>
        <v>0</v>
      </c>
    </row>
    <row r="109" spans="2:26">
      <c r="B109" s="340" t="s">
        <v>662</v>
      </c>
      <c r="C109" s="331"/>
      <c r="D109" s="332"/>
      <c r="E109" s="332"/>
      <c r="F109" s="332"/>
      <c r="G109" s="332"/>
      <c r="H109" s="332"/>
      <c r="I109" s="332"/>
      <c r="J109" s="332"/>
      <c r="K109" s="332"/>
      <c r="L109" s="332"/>
      <c r="M109" s="332"/>
      <c r="N109" s="333"/>
    </row>
    <row r="110" spans="2:26">
      <c r="B110" s="340" t="s">
        <v>663</v>
      </c>
      <c r="C110" s="331"/>
      <c r="D110" s="332"/>
      <c r="E110" s="332"/>
      <c r="F110" s="332"/>
      <c r="G110" s="332"/>
      <c r="H110" s="332"/>
      <c r="I110" s="332"/>
      <c r="J110" s="332"/>
      <c r="K110" s="332"/>
      <c r="L110" s="332"/>
      <c r="M110" s="332"/>
      <c r="N110" s="333"/>
    </row>
    <row r="111" spans="2:26" ht="18.75" thickBot="1">
      <c r="B111" s="341" t="s">
        <v>664</v>
      </c>
      <c r="C111" s="336"/>
      <c r="D111" s="337"/>
      <c r="E111" s="337"/>
      <c r="F111" s="337"/>
      <c r="G111" s="337"/>
      <c r="H111" s="337"/>
      <c r="I111" s="337"/>
      <c r="J111" s="337"/>
      <c r="K111" s="337"/>
      <c r="L111" s="337"/>
      <c r="M111" s="337"/>
      <c r="N111" s="338"/>
    </row>
    <row r="112" spans="2:26" ht="18.75" thickBot="1">
      <c r="B112" s="8" t="s">
        <v>334</v>
      </c>
      <c r="C112" s="63">
        <f>IF(SUM(C107:C111)=0,"",SUM(C107:C111))</f>
        <v>14735.02</v>
      </c>
      <c r="D112" s="63" t="str">
        <f t="shared" ref="D112:N112" si="7">IF(SUM(D107:D111)=0,"",SUM(D107:D111))</f>
        <v/>
      </c>
      <c r="E112" s="63" t="str">
        <f t="shared" si="7"/>
        <v/>
      </c>
      <c r="F112" s="63" t="str">
        <f t="shared" si="7"/>
        <v/>
      </c>
      <c r="G112" s="63" t="str">
        <f t="shared" si="7"/>
        <v/>
      </c>
      <c r="H112" s="63" t="str">
        <f t="shared" si="7"/>
        <v/>
      </c>
      <c r="I112" s="63" t="str">
        <f t="shared" si="7"/>
        <v/>
      </c>
      <c r="J112" s="63" t="str">
        <f t="shared" si="7"/>
        <v/>
      </c>
      <c r="K112" s="63" t="str">
        <f t="shared" si="7"/>
        <v/>
      </c>
      <c r="L112" s="63" t="str">
        <f t="shared" si="7"/>
        <v/>
      </c>
      <c r="M112" s="63" t="str">
        <f t="shared" si="7"/>
        <v/>
      </c>
      <c r="N112" s="63" t="str">
        <f t="shared" si="7"/>
        <v/>
      </c>
    </row>
    <row r="113" spans="1:14" ht="18.75" thickBot="1"/>
    <row r="114" spans="1:14" s="347" customFormat="1" ht="19.5" thickBot="1">
      <c r="B114" s="349" t="s">
        <v>665</v>
      </c>
      <c r="C114" s="346" t="s">
        <v>278</v>
      </c>
      <c r="D114" s="346" t="s">
        <v>279</v>
      </c>
      <c r="E114" s="346" t="s">
        <v>280</v>
      </c>
      <c r="F114" s="346" t="s">
        <v>281</v>
      </c>
      <c r="G114" s="346" t="s">
        <v>132</v>
      </c>
      <c r="H114" s="346" t="s">
        <v>282</v>
      </c>
      <c r="I114" s="346" t="s">
        <v>283</v>
      </c>
      <c r="J114" s="346" t="s">
        <v>284</v>
      </c>
      <c r="K114" s="346" t="s">
        <v>285</v>
      </c>
      <c r="L114" s="346" t="s">
        <v>286</v>
      </c>
      <c r="M114" s="346" t="s">
        <v>287</v>
      </c>
      <c r="N114" s="346" t="s">
        <v>288</v>
      </c>
    </row>
    <row r="115" spans="1:14">
      <c r="B115" s="342" t="s">
        <v>666</v>
      </c>
      <c r="C115" s="327"/>
      <c r="D115" s="328"/>
      <c r="E115" s="328"/>
      <c r="F115" s="328"/>
      <c r="G115" s="328"/>
      <c r="H115" s="328"/>
      <c r="I115" s="328"/>
      <c r="J115" s="328"/>
      <c r="K115" s="328"/>
      <c r="L115" s="328"/>
      <c r="M115" s="328"/>
      <c r="N115" s="329"/>
    </row>
    <row r="116" spans="1:14">
      <c r="B116" s="340" t="s">
        <v>667</v>
      </c>
      <c r="C116" s="331"/>
      <c r="D116" s="332"/>
      <c r="E116" s="332"/>
      <c r="F116" s="332"/>
      <c r="G116" s="332"/>
      <c r="H116" s="332"/>
      <c r="I116" s="332"/>
      <c r="J116" s="332"/>
      <c r="K116" s="332"/>
      <c r="L116" s="332"/>
      <c r="M116" s="332"/>
      <c r="N116" s="333"/>
    </row>
    <row r="117" spans="1:14">
      <c r="B117" s="340" t="s">
        <v>668</v>
      </c>
      <c r="C117" s="331"/>
      <c r="D117" s="332"/>
      <c r="E117" s="332"/>
      <c r="F117" s="332"/>
      <c r="G117" s="332"/>
      <c r="H117" s="332"/>
      <c r="I117" s="332"/>
      <c r="J117" s="332"/>
      <c r="K117" s="332"/>
      <c r="L117" s="332"/>
      <c r="M117" s="332"/>
      <c r="N117" s="333"/>
    </row>
    <row r="118" spans="1:14">
      <c r="A118" s="880" t="s">
        <v>338</v>
      </c>
      <c r="B118" s="343" t="s">
        <v>669</v>
      </c>
      <c r="C118" s="331">
        <v>2</v>
      </c>
      <c r="D118" s="332"/>
      <c r="E118" s="332"/>
      <c r="F118" s="332"/>
      <c r="G118" s="332"/>
      <c r="H118" s="332"/>
      <c r="I118" s="332"/>
      <c r="J118" s="332"/>
      <c r="K118" s="332"/>
      <c r="L118" s="332"/>
      <c r="M118" s="332"/>
      <c r="N118" s="333"/>
    </row>
    <row r="119" spans="1:14" ht="18.75" thickBot="1">
      <c r="A119" s="882" t="s">
        <v>196</v>
      </c>
      <c r="B119" s="343" t="s">
        <v>670</v>
      </c>
      <c r="C119" s="336"/>
      <c r="D119" s="337"/>
      <c r="E119" s="337"/>
      <c r="F119" s="337"/>
      <c r="G119" s="337"/>
      <c r="H119" s="337"/>
      <c r="I119" s="337"/>
      <c r="J119" s="337"/>
      <c r="K119" s="337"/>
      <c r="L119" s="337"/>
      <c r="M119" s="337"/>
      <c r="N119" s="338"/>
    </row>
    <row r="120" spans="1:14" ht="18.75" thickBot="1">
      <c r="A120" t="s">
        <v>241</v>
      </c>
      <c r="B120" s="8" t="s">
        <v>334</v>
      </c>
      <c r="C120" s="63">
        <f>IF(SUM(C115:C119)=0,"",SUM(C115:C119))</f>
        <v>2</v>
      </c>
      <c r="D120" s="63" t="str">
        <f t="shared" ref="D120:N120" si="8">IF(SUM(D115:D119)=0,"",SUM(D115:D119))</f>
        <v/>
      </c>
      <c r="E120" s="63" t="str">
        <f t="shared" si="8"/>
        <v/>
      </c>
      <c r="F120" s="63" t="str">
        <f t="shared" si="8"/>
        <v/>
      </c>
      <c r="G120" s="63" t="str">
        <f t="shared" si="8"/>
        <v/>
      </c>
      <c r="H120" s="63" t="str">
        <f t="shared" si="8"/>
        <v/>
      </c>
      <c r="I120" s="63" t="str">
        <f t="shared" si="8"/>
        <v/>
      </c>
      <c r="J120" s="63" t="str">
        <f t="shared" si="8"/>
        <v/>
      </c>
      <c r="K120" s="63" t="str">
        <f t="shared" si="8"/>
        <v/>
      </c>
      <c r="L120" s="63" t="str">
        <f t="shared" si="8"/>
        <v/>
      </c>
      <c r="M120" s="63" t="str">
        <f t="shared" si="8"/>
        <v/>
      </c>
      <c r="N120" s="63" t="str">
        <f t="shared" si="8"/>
        <v/>
      </c>
    </row>
    <row r="121" spans="1:14" ht="18.75" thickBot="1"/>
    <row r="122" spans="1:14" s="347" customFormat="1" ht="19.5" thickBot="1">
      <c r="B122" s="349" t="s">
        <v>671</v>
      </c>
      <c r="C122" s="346" t="s">
        <v>278</v>
      </c>
      <c r="D122" s="346" t="s">
        <v>279</v>
      </c>
      <c r="E122" s="346" t="s">
        <v>280</v>
      </c>
      <c r="F122" s="346" t="s">
        <v>281</v>
      </c>
      <c r="G122" s="346" t="s">
        <v>132</v>
      </c>
      <c r="H122" s="346" t="s">
        <v>282</v>
      </c>
      <c r="I122" s="346" t="s">
        <v>283</v>
      </c>
      <c r="J122" s="346" t="s">
        <v>284</v>
      </c>
      <c r="K122" s="346" t="s">
        <v>285</v>
      </c>
      <c r="L122" s="346" t="s">
        <v>286</v>
      </c>
      <c r="M122" s="346" t="s">
        <v>287</v>
      </c>
      <c r="N122" s="346" t="s">
        <v>288</v>
      </c>
    </row>
    <row r="123" spans="1:14">
      <c r="B123" s="342" t="s">
        <v>672</v>
      </c>
      <c r="C123" s="327"/>
      <c r="D123" s="328"/>
      <c r="E123" s="328"/>
      <c r="F123" s="328"/>
      <c r="G123" s="328"/>
      <c r="H123" s="328"/>
      <c r="I123" s="328"/>
      <c r="J123" s="328"/>
      <c r="K123" s="328"/>
      <c r="L123" s="328"/>
      <c r="M123" s="328"/>
      <c r="N123" s="329"/>
    </row>
    <row r="124" spans="1:14" ht="18.75" thickBot="1">
      <c r="B124" s="344" t="s">
        <v>673</v>
      </c>
      <c r="C124" s="336"/>
      <c r="D124" s="337"/>
      <c r="E124" s="337"/>
      <c r="F124" s="337"/>
      <c r="G124" s="337"/>
      <c r="H124" s="337"/>
      <c r="I124" s="337"/>
      <c r="J124" s="337"/>
      <c r="K124" s="337"/>
      <c r="L124" s="337"/>
      <c r="M124" s="337"/>
      <c r="N124" s="338"/>
    </row>
    <row r="125" spans="1:14" ht="18.75" thickBot="1">
      <c r="B125" s="8" t="s">
        <v>334</v>
      </c>
      <c r="C125" s="63"/>
      <c r="D125" s="63"/>
      <c r="E125" s="63"/>
      <c r="F125" s="63"/>
      <c r="G125" s="63"/>
      <c r="H125" s="63"/>
      <c r="I125" s="63"/>
      <c r="J125" s="63"/>
      <c r="K125" s="63"/>
      <c r="L125" s="63"/>
      <c r="M125" s="63"/>
      <c r="N125" s="63"/>
    </row>
    <row r="126" spans="1:14" ht="18.75" thickBot="1"/>
    <row r="127" spans="1:14" s="347" customFormat="1" ht="19.5" thickBot="1">
      <c r="A127" s="880" t="s">
        <v>338</v>
      </c>
      <c r="B127" s="349" t="s">
        <v>674</v>
      </c>
      <c r="C127" s="346" t="s">
        <v>278</v>
      </c>
      <c r="D127" s="346" t="s">
        <v>279</v>
      </c>
      <c r="E127" s="346" t="s">
        <v>280</v>
      </c>
      <c r="F127" s="346" t="s">
        <v>281</v>
      </c>
      <c r="G127" s="346" t="s">
        <v>132</v>
      </c>
      <c r="H127" s="346" t="s">
        <v>282</v>
      </c>
      <c r="I127" s="346" t="s">
        <v>283</v>
      </c>
      <c r="J127" s="346" t="s">
        <v>284</v>
      </c>
      <c r="K127" s="346" t="s">
        <v>285</v>
      </c>
      <c r="L127" s="346" t="s">
        <v>286</v>
      </c>
      <c r="M127" s="1775" t="s">
        <v>287</v>
      </c>
      <c r="N127" s="1778" t="s">
        <v>288</v>
      </c>
    </row>
    <row r="128" spans="1:14">
      <c r="A128" s="882" t="s">
        <v>232</v>
      </c>
      <c r="B128" s="342" t="s">
        <v>675</v>
      </c>
      <c r="C128" s="327"/>
      <c r="D128" s="328"/>
      <c r="E128" s="328"/>
      <c r="F128" s="328"/>
      <c r="G128" s="328"/>
      <c r="H128" s="328"/>
      <c r="I128" s="328"/>
      <c r="J128" s="328"/>
      <c r="K128" s="328"/>
      <c r="L128" s="1771"/>
      <c r="M128" s="1776"/>
      <c r="N128" s="1779"/>
    </row>
    <row r="129" spans="1:14">
      <c r="A129" t="s">
        <v>676</v>
      </c>
      <c r="B129" s="342" t="s">
        <v>677</v>
      </c>
      <c r="C129" s="331"/>
      <c r="D129" s="332"/>
      <c r="E129" s="332"/>
      <c r="F129" s="332"/>
      <c r="G129" s="332"/>
      <c r="H129" s="332"/>
      <c r="I129" s="332"/>
      <c r="J129" s="332"/>
      <c r="K129" s="332"/>
      <c r="L129" s="1772"/>
      <c r="M129" s="1776"/>
      <c r="N129" s="1779"/>
    </row>
    <row r="130" spans="1:14" ht="18.75" customHeight="1">
      <c r="B130" s="340" t="s">
        <v>678</v>
      </c>
      <c r="C130" s="422"/>
      <c r="D130" s="423"/>
      <c r="E130" s="423"/>
      <c r="F130" s="422"/>
      <c r="G130" s="332"/>
      <c r="H130" s="332"/>
      <c r="I130" s="332"/>
      <c r="J130" s="332"/>
      <c r="K130" s="482"/>
      <c r="L130" s="1772"/>
      <c r="M130" s="1776"/>
      <c r="N130" s="1779"/>
    </row>
    <row r="131" spans="1:14">
      <c r="B131" s="340" t="s">
        <v>679</v>
      </c>
      <c r="C131" s="422">
        <v>500</v>
      </c>
      <c r="D131" s="423"/>
      <c r="E131" s="423"/>
      <c r="F131" s="332"/>
      <c r="G131" s="332"/>
      <c r="H131" s="332"/>
      <c r="I131" s="332"/>
      <c r="J131" s="332"/>
      <c r="K131" s="482"/>
      <c r="L131" s="1772"/>
      <c r="M131" s="1776"/>
      <c r="N131" s="1779"/>
    </row>
    <row r="132" spans="1:14">
      <c r="B132" s="343" t="s">
        <v>680</v>
      </c>
      <c r="C132" s="331"/>
      <c r="D132" s="332"/>
      <c r="E132" s="332"/>
      <c r="F132" s="332"/>
      <c r="G132" s="332"/>
      <c r="H132" s="332"/>
      <c r="I132" s="332"/>
      <c r="J132" s="332"/>
      <c r="K132" s="332"/>
      <c r="L132" s="1772"/>
      <c r="M132" s="1776"/>
      <c r="N132" s="1779"/>
    </row>
    <row r="133" spans="1:14">
      <c r="B133" s="343" t="s">
        <v>681</v>
      </c>
      <c r="C133" s="331"/>
      <c r="D133" s="332"/>
      <c r="E133" s="332"/>
      <c r="F133" s="332"/>
      <c r="G133" s="332"/>
      <c r="H133" s="332"/>
      <c r="I133" s="332"/>
      <c r="J133" s="332"/>
      <c r="K133" s="332"/>
      <c r="L133" s="1772"/>
      <c r="M133" s="1776"/>
      <c r="N133" s="1779"/>
    </row>
    <row r="134" spans="1:14">
      <c r="B134" s="343" t="s">
        <v>682</v>
      </c>
      <c r="C134" s="331"/>
      <c r="D134" s="332"/>
      <c r="E134" s="332"/>
      <c r="F134" s="332"/>
      <c r="G134" s="332"/>
      <c r="H134" s="332"/>
      <c r="I134" s="332"/>
      <c r="J134" s="332"/>
      <c r="K134" s="332"/>
      <c r="L134" s="1772"/>
      <c r="M134" s="1776"/>
      <c r="N134" s="1779"/>
    </row>
    <row r="135" spans="1:14" ht="36">
      <c r="B135" s="350" t="s">
        <v>683</v>
      </c>
      <c r="C135" s="331"/>
      <c r="D135" s="332"/>
      <c r="E135" s="332"/>
      <c r="F135" s="332"/>
      <c r="G135" s="332"/>
      <c r="H135" s="332"/>
      <c r="I135" s="332"/>
      <c r="J135" s="332"/>
      <c r="K135" s="332"/>
      <c r="L135" s="1772"/>
      <c r="M135" s="1776"/>
      <c r="N135" s="1779"/>
    </row>
    <row r="136" spans="1:14">
      <c r="B136" s="343" t="s">
        <v>684</v>
      </c>
      <c r="C136" s="331"/>
      <c r="D136" s="332"/>
      <c r="E136" s="332"/>
      <c r="F136" s="332"/>
      <c r="G136" s="332"/>
      <c r="H136" s="332"/>
      <c r="I136" s="332"/>
      <c r="J136" s="332"/>
      <c r="K136" s="332"/>
      <c r="L136" s="1772"/>
      <c r="M136" s="1776"/>
      <c r="N136" s="1779"/>
    </row>
    <row r="137" spans="1:14">
      <c r="B137" s="343" t="s">
        <v>685</v>
      </c>
      <c r="C137" s="425">
        <v>96.2</v>
      </c>
      <c r="D137" s="426"/>
      <c r="E137" s="426"/>
      <c r="F137" s="426"/>
      <c r="G137" s="426"/>
      <c r="H137" s="426"/>
      <c r="I137" s="426"/>
      <c r="J137" s="426"/>
      <c r="K137" s="426"/>
      <c r="L137" s="1773"/>
      <c r="M137" s="1776"/>
      <c r="N137" s="1779"/>
    </row>
    <row r="138" spans="1:14" ht="18.75" thickBot="1">
      <c r="B138" s="343" t="s">
        <v>686</v>
      </c>
      <c r="C138" s="420"/>
      <c r="D138" s="421"/>
      <c r="E138" s="421"/>
      <c r="F138" s="337"/>
      <c r="G138" s="337"/>
      <c r="H138" s="337"/>
      <c r="I138" s="332"/>
      <c r="J138" s="337"/>
      <c r="K138" s="337"/>
      <c r="L138" s="1774"/>
      <c r="M138" s="1776"/>
      <c r="N138" s="1779"/>
    </row>
    <row r="139" spans="1:14" ht="18.75" thickBot="1">
      <c r="B139" s="8" t="s">
        <v>334</v>
      </c>
      <c r="C139" s="63">
        <f>IF(SUM(C128:C138)=0,"",SUM(C128:C138))</f>
        <v>596.20000000000005</v>
      </c>
      <c r="D139" s="424" t="str">
        <f t="shared" ref="D139:M139" si="9">IF(SUM(D128:D138)=0,"",SUM(D128:D138))</f>
        <v/>
      </c>
      <c r="E139" s="424" t="str">
        <f t="shared" si="9"/>
        <v/>
      </c>
      <c r="F139" s="63" t="str">
        <f t="shared" si="9"/>
        <v/>
      </c>
      <c r="G139" s="63" t="str">
        <f t="shared" si="9"/>
        <v/>
      </c>
      <c r="H139" s="63" t="str">
        <f t="shared" si="9"/>
        <v/>
      </c>
      <c r="I139" s="63" t="str">
        <f t="shared" si="9"/>
        <v/>
      </c>
      <c r="J139" s="63" t="str">
        <f t="shared" si="9"/>
        <v/>
      </c>
      <c r="K139" s="63" t="str">
        <f t="shared" si="9"/>
        <v/>
      </c>
      <c r="L139" s="63" t="str">
        <f t="shared" si="9"/>
        <v/>
      </c>
      <c r="M139" s="1777" t="str">
        <f t="shared" si="9"/>
        <v/>
      </c>
      <c r="N139" s="1780">
        <f>IF(SUM(N44:N54)=0,"",SUM(N44:N54))</f>
        <v>1698.5</v>
      </c>
    </row>
    <row r="140" spans="1:14" ht="18.75" thickBot="1"/>
    <row r="141" spans="1:14" s="347" customFormat="1" ht="19.5" thickBot="1">
      <c r="B141" s="349" t="s">
        <v>687</v>
      </c>
      <c r="C141" s="346" t="s">
        <v>278</v>
      </c>
      <c r="D141" s="346" t="s">
        <v>279</v>
      </c>
      <c r="E141" s="346" t="s">
        <v>280</v>
      </c>
      <c r="F141" s="346" t="s">
        <v>281</v>
      </c>
      <c r="G141" s="346" t="s">
        <v>132</v>
      </c>
      <c r="H141" s="346" t="s">
        <v>282</v>
      </c>
      <c r="I141" s="346" t="s">
        <v>283</v>
      </c>
      <c r="J141" s="346" t="s">
        <v>284</v>
      </c>
      <c r="K141" s="346" t="s">
        <v>285</v>
      </c>
      <c r="L141" s="346" t="s">
        <v>286</v>
      </c>
      <c r="M141" s="346" t="s">
        <v>287</v>
      </c>
      <c r="N141" s="346" t="s">
        <v>288</v>
      </c>
    </row>
    <row r="142" spans="1:14">
      <c r="B142" s="342" t="s">
        <v>688</v>
      </c>
      <c r="C142" s="327"/>
      <c r="D142" s="328"/>
      <c r="E142" s="328"/>
      <c r="F142" s="328"/>
      <c r="G142" s="328"/>
      <c r="H142" s="328"/>
      <c r="I142" s="328"/>
      <c r="J142" s="328"/>
      <c r="K142" s="328"/>
      <c r="L142" s="328"/>
      <c r="M142" s="328"/>
      <c r="N142" s="329"/>
    </row>
    <row r="143" spans="1:14">
      <c r="B143" s="340" t="s">
        <v>689</v>
      </c>
      <c r="C143" s="331"/>
      <c r="D143" s="332"/>
      <c r="E143" s="332"/>
      <c r="F143" s="332"/>
      <c r="G143" s="332"/>
      <c r="H143" s="332"/>
      <c r="I143" s="332"/>
      <c r="J143" s="332"/>
      <c r="K143" s="332"/>
      <c r="L143" s="332"/>
      <c r="M143" s="332"/>
      <c r="N143" s="333"/>
    </row>
    <row r="144" spans="1:14">
      <c r="B144" s="340" t="s">
        <v>690</v>
      </c>
      <c r="C144" s="331"/>
      <c r="D144" s="332"/>
      <c r="E144" s="332"/>
      <c r="F144" s="332"/>
      <c r="G144" s="332"/>
      <c r="H144" s="332"/>
      <c r="I144" s="332"/>
      <c r="J144" s="332"/>
      <c r="K144" s="332"/>
      <c r="L144" s="332"/>
      <c r="M144" s="332"/>
      <c r="N144" s="333"/>
    </row>
    <row r="145" spans="1:14" ht="18.75" thickBot="1">
      <c r="B145" s="340" t="s">
        <v>670</v>
      </c>
      <c r="C145" s="336"/>
      <c r="D145" s="337"/>
      <c r="E145" s="337"/>
      <c r="F145" s="337"/>
      <c r="G145" s="337"/>
      <c r="H145" s="337"/>
      <c r="I145" s="337"/>
      <c r="J145" s="337"/>
      <c r="K145" s="337"/>
      <c r="L145" s="337"/>
      <c r="M145" s="337"/>
      <c r="N145" s="338"/>
    </row>
    <row r="146" spans="1:14" ht="18.75" thickBot="1">
      <c r="B146" s="8" t="s">
        <v>334</v>
      </c>
      <c r="C146" s="63" t="str">
        <f>IF(SUM(C142:C145)=0,"",SUM(C142:C145))</f>
        <v/>
      </c>
      <c r="D146" s="63" t="str">
        <f t="shared" ref="D146:N146" si="10">IF(SUM(D142:D145)=0,"",SUM(D142:D145))</f>
        <v/>
      </c>
      <c r="E146" s="63" t="str">
        <f t="shared" si="10"/>
        <v/>
      </c>
      <c r="F146" s="63" t="str">
        <f t="shared" si="10"/>
        <v/>
      </c>
      <c r="G146" s="63" t="str">
        <f t="shared" si="10"/>
        <v/>
      </c>
      <c r="H146" s="63" t="str">
        <f t="shared" si="10"/>
        <v/>
      </c>
      <c r="I146" s="63" t="str">
        <f t="shared" si="10"/>
        <v/>
      </c>
      <c r="J146" s="63" t="str">
        <f t="shared" si="10"/>
        <v/>
      </c>
      <c r="K146" s="63" t="str">
        <f t="shared" si="10"/>
        <v/>
      </c>
      <c r="L146" s="63" t="str">
        <f t="shared" si="10"/>
        <v/>
      </c>
      <c r="M146" s="63" t="str">
        <f t="shared" si="10"/>
        <v/>
      </c>
      <c r="N146" s="63" t="str">
        <f t="shared" si="10"/>
        <v/>
      </c>
    </row>
    <row r="147" spans="1:14" ht="18.75" thickBot="1"/>
    <row r="148" spans="1:14" s="347" customFormat="1" ht="19.5" thickBot="1">
      <c r="B148" s="349" t="s">
        <v>575</v>
      </c>
      <c r="C148" s="346" t="s">
        <v>278</v>
      </c>
      <c r="D148" s="346" t="s">
        <v>279</v>
      </c>
      <c r="E148" s="346" t="s">
        <v>280</v>
      </c>
      <c r="F148" s="346" t="s">
        <v>281</v>
      </c>
      <c r="G148" s="346" t="s">
        <v>132</v>
      </c>
      <c r="H148" s="346" t="s">
        <v>282</v>
      </c>
      <c r="I148" s="346" t="s">
        <v>283</v>
      </c>
      <c r="J148" s="346" t="s">
        <v>284</v>
      </c>
      <c r="K148" s="346" t="s">
        <v>285</v>
      </c>
      <c r="L148" s="346" t="s">
        <v>286</v>
      </c>
      <c r="M148" s="346" t="s">
        <v>287</v>
      </c>
      <c r="N148" s="346" t="s">
        <v>288</v>
      </c>
    </row>
    <row r="149" spans="1:14">
      <c r="B149" s="342" t="s">
        <v>691</v>
      </c>
      <c r="C149" s="327"/>
      <c r="D149" s="328"/>
      <c r="E149" s="328"/>
      <c r="F149" s="328"/>
      <c r="G149" s="328"/>
      <c r="H149" s="328"/>
      <c r="I149" s="328"/>
      <c r="J149" s="328"/>
      <c r="K149" s="328"/>
      <c r="L149" s="328"/>
      <c r="M149" s="328"/>
      <c r="N149" s="329"/>
    </row>
    <row r="150" spans="1:14">
      <c r="B150" s="340" t="s">
        <v>692</v>
      </c>
      <c r="C150" s="331"/>
      <c r="D150" s="332"/>
      <c r="E150" s="332"/>
      <c r="F150" s="332"/>
      <c r="G150" s="332"/>
      <c r="H150" s="332"/>
      <c r="I150" s="332"/>
      <c r="J150" s="332"/>
      <c r="K150" s="332"/>
      <c r="L150" s="332"/>
      <c r="M150" s="332"/>
      <c r="N150" s="333"/>
    </row>
    <row r="151" spans="1:14">
      <c r="B151" s="343" t="s">
        <v>656</v>
      </c>
      <c r="C151" s="331"/>
      <c r="D151" s="332"/>
      <c r="E151" s="332"/>
      <c r="F151" s="332"/>
      <c r="G151" s="332"/>
      <c r="H151" s="332"/>
      <c r="I151" s="332"/>
      <c r="J151" s="332"/>
      <c r="K151" s="332"/>
      <c r="L151" s="332"/>
      <c r="M151" s="332"/>
      <c r="N151" s="333"/>
    </row>
    <row r="152" spans="1:14" ht="18.75" thickBot="1">
      <c r="B152" s="343" t="s">
        <v>693</v>
      </c>
      <c r="C152" s="336"/>
      <c r="D152" s="337"/>
      <c r="E152" s="337"/>
      <c r="F152" s="337"/>
      <c r="G152" s="337"/>
      <c r="H152" s="337"/>
      <c r="I152" s="337"/>
      <c r="J152" s="337"/>
      <c r="K152" s="337"/>
      <c r="L152" s="337"/>
      <c r="M152" s="337"/>
      <c r="N152" s="338"/>
    </row>
    <row r="153" spans="1:14" ht="18.75" thickBot="1">
      <c r="B153" s="8" t="s">
        <v>334</v>
      </c>
      <c r="C153" s="63" t="str">
        <f>IF(SUM(C149:C152)=0,"",SUM(C149:C152))</f>
        <v/>
      </c>
      <c r="D153" s="63" t="str">
        <f t="shared" ref="D153:N153" si="11">IF(SUM(D149:D152)=0,"",SUM(D149:D152))</f>
        <v/>
      </c>
      <c r="E153" s="63" t="str">
        <f t="shared" si="11"/>
        <v/>
      </c>
      <c r="F153" s="63" t="str">
        <f t="shared" si="11"/>
        <v/>
      </c>
      <c r="G153" s="63" t="str">
        <f t="shared" si="11"/>
        <v/>
      </c>
      <c r="H153" s="63" t="str">
        <f t="shared" si="11"/>
        <v/>
      </c>
      <c r="I153" s="63" t="str">
        <f t="shared" si="11"/>
        <v/>
      </c>
      <c r="J153" s="63" t="str">
        <f t="shared" si="11"/>
        <v/>
      </c>
      <c r="K153" s="63" t="str">
        <f t="shared" si="11"/>
        <v/>
      </c>
      <c r="L153" s="63" t="str">
        <f t="shared" si="11"/>
        <v/>
      </c>
      <c r="M153" s="63" t="str">
        <f t="shared" si="11"/>
        <v/>
      </c>
      <c r="N153" s="63" t="str">
        <f t="shared" si="11"/>
        <v/>
      </c>
    </row>
    <row r="154" spans="1:14" ht="18.75" thickBot="1"/>
    <row r="155" spans="1:14" ht="19.5" thickBot="1">
      <c r="B155" s="349" t="s">
        <v>694</v>
      </c>
      <c r="C155" s="63" t="s">
        <v>278</v>
      </c>
      <c r="D155" s="63" t="s">
        <v>279</v>
      </c>
      <c r="E155" s="63" t="s">
        <v>280</v>
      </c>
      <c r="F155" s="63" t="s">
        <v>281</v>
      </c>
      <c r="G155" s="63" t="s">
        <v>132</v>
      </c>
      <c r="H155" s="63" t="s">
        <v>282</v>
      </c>
      <c r="I155" s="63" t="s">
        <v>283</v>
      </c>
      <c r="J155" s="63" t="s">
        <v>284</v>
      </c>
      <c r="K155" s="63" t="s">
        <v>285</v>
      </c>
      <c r="L155" s="63" t="s">
        <v>286</v>
      </c>
      <c r="M155" s="63" t="s">
        <v>287</v>
      </c>
      <c r="N155" s="63" t="s">
        <v>288</v>
      </c>
    </row>
    <row r="156" spans="1:14">
      <c r="B156" s="342" t="s">
        <v>695</v>
      </c>
      <c r="C156" s="327"/>
      <c r="D156" s="328"/>
      <c r="E156" s="328"/>
      <c r="F156" s="328"/>
      <c r="G156" s="328"/>
      <c r="H156" s="328"/>
      <c r="I156" s="328"/>
      <c r="J156" s="328"/>
      <c r="K156" s="328"/>
      <c r="L156" s="328"/>
      <c r="M156" s="328"/>
      <c r="N156" s="329"/>
    </row>
    <row r="157" spans="1:14" ht="18.75" thickBot="1">
      <c r="B157" s="345" t="s">
        <v>696</v>
      </c>
      <c r="C157" s="336"/>
      <c r="D157" s="337"/>
      <c r="E157" s="337"/>
      <c r="F157" s="337"/>
      <c r="G157" s="337"/>
      <c r="H157" s="337"/>
      <c r="I157" s="337"/>
      <c r="J157" s="337"/>
      <c r="K157" s="337"/>
      <c r="L157" s="337"/>
      <c r="M157" s="337"/>
      <c r="N157" s="338"/>
    </row>
    <row r="158" spans="1:14" ht="18.75" thickBot="1"/>
    <row r="159" spans="1:14" ht="19.5" thickBot="1">
      <c r="B159" s="349" t="s">
        <v>697</v>
      </c>
      <c r="C159" s="63" t="s">
        <v>278</v>
      </c>
      <c r="D159" s="63" t="s">
        <v>279</v>
      </c>
      <c r="E159" s="63" t="s">
        <v>280</v>
      </c>
      <c r="F159" s="63" t="s">
        <v>281</v>
      </c>
      <c r="G159" s="63" t="s">
        <v>132</v>
      </c>
      <c r="H159" s="63" t="s">
        <v>282</v>
      </c>
      <c r="I159" s="63" t="s">
        <v>283</v>
      </c>
      <c r="J159" s="63" t="s">
        <v>284</v>
      </c>
      <c r="K159" s="63" t="s">
        <v>285</v>
      </c>
      <c r="L159" s="63" t="s">
        <v>286</v>
      </c>
      <c r="M159" s="63" t="s">
        <v>287</v>
      </c>
      <c r="N159" s="63" t="s">
        <v>288</v>
      </c>
    </row>
    <row r="160" spans="1:14">
      <c r="A160" s="880" t="s">
        <v>338</v>
      </c>
      <c r="B160" s="326" t="s">
        <v>696</v>
      </c>
      <c r="C160" s="436">
        <v>0</v>
      </c>
      <c r="D160" s="437"/>
      <c r="E160" s="437"/>
      <c r="F160" s="438"/>
      <c r="G160" s="438"/>
      <c r="H160" s="438"/>
      <c r="I160" s="437"/>
      <c r="J160" s="438"/>
      <c r="K160" s="438"/>
      <c r="L160" s="438"/>
      <c r="M160" s="437"/>
      <c r="N160" s="439"/>
    </row>
    <row r="161" spans="1:14">
      <c r="A161" s="882" t="s">
        <v>706</v>
      </c>
      <c r="B161" s="418" t="s">
        <v>696</v>
      </c>
      <c r="C161" s="440">
        <v>0</v>
      </c>
      <c r="D161" s="441"/>
      <c r="E161" s="441"/>
      <c r="F161" s="442"/>
      <c r="G161" s="442"/>
      <c r="H161" s="442"/>
      <c r="I161" s="457"/>
      <c r="J161" s="442"/>
      <c r="K161" s="442"/>
      <c r="L161" s="442"/>
      <c r="M161" s="442"/>
      <c r="N161" s="443"/>
    </row>
    <row r="162" spans="1:14" ht="18.75" thickBot="1">
      <c r="A162" t="s">
        <v>81</v>
      </c>
      <c r="B162" s="419" t="s">
        <v>696</v>
      </c>
      <c r="C162" s="444">
        <v>0</v>
      </c>
      <c r="D162" s="445"/>
      <c r="E162" s="446"/>
      <c r="F162" s="446"/>
      <c r="G162" s="446"/>
      <c r="H162" s="446"/>
      <c r="I162" s="446"/>
      <c r="J162" s="446"/>
      <c r="K162" s="446"/>
      <c r="L162" s="446"/>
      <c r="M162" s="446"/>
      <c r="N162" s="447"/>
    </row>
    <row r="164" spans="1:14">
      <c r="B164" s="324" t="s">
        <v>710</v>
      </c>
    </row>
    <row r="165" spans="1:14">
      <c r="B165" s="324" t="s">
        <v>711</v>
      </c>
    </row>
    <row r="166" spans="1:14">
      <c r="B166" s="324" t="s">
        <v>712</v>
      </c>
    </row>
    <row r="167" spans="1:14">
      <c r="B167" s="324" t="s">
        <v>713</v>
      </c>
    </row>
    <row r="168" spans="1:14">
      <c r="B168" s="324" t="s">
        <v>714</v>
      </c>
    </row>
  </sheetData>
  <mergeCells count="28">
    <mergeCell ref="U5:V5"/>
    <mergeCell ref="W5:X5"/>
    <mergeCell ref="Y5:Z5"/>
    <mergeCell ref="B5:B6"/>
    <mergeCell ref="C5:D5"/>
    <mergeCell ref="E5:F5"/>
    <mergeCell ref="G5:H5"/>
    <mergeCell ref="I5:J5"/>
    <mergeCell ref="K5:L5"/>
    <mergeCell ref="M5:N5"/>
    <mergeCell ref="O5:P5"/>
    <mergeCell ref="Q5:R5"/>
    <mergeCell ref="A4:A5"/>
    <mergeCell ref="A88:A89"/>
    <mergeCell ref="B89:B90"/>
    <mergeCell ref="C89:D89"/>
    <mergeCell ref="S5:T5"/>
    <mergeCell ref="E89:F89"/>
    <mergeCell ref="G89:H89"/>
    <mergeCell ref="I89:J89"/>
    <mergeCell ref="K89:L89"/>
    <mergeCell ref="M89:N89"/>
    <mergeCell ref="Y89:Z89"/>
    <mergeCell ref="O89:P89"/>
    <mergeCell ref="Q89:R89"/>
    <mergeCell ref="S89:T89"/>
    <mergeCell ref="U89:V89"/>
    <mergeCell ref="W89:X89"/>
  </mergeCells>
  <conditionalFormatting sqref="C23:N27">
    <cfRule type="cellIs" dxfId="29" priority="2" operator="equal">
      <formula>0</formula>
    </cfRule>
  </conditionalFormatting>
  <conditionalFormatting sqref="C107:N111">
    <cfRule type="cellIs" dxfId="28" priority="1" operator="equal">
      <formula>0</formula>
    </cfRule>
  </conditionalFormatting>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3BF8AD-B6B1-45BE-A6BA-3E38D57B90E1}">
  <dimension ref="A1:U158"/>
  <sheetViews>
    <sheetView showGridLines="0" workbookViewId="0">
      <pane ySplit="1" topLeftCell="A2" activePane="bottomLeft" state="frozen"/>
      <selection pane="bottomLeft"/>
    </sheetView>
  </sheetViews>
  <sheetFormatPr defaultRowHeight="15"/>
  <cols>
    <col min="1" max="1" width="37.140625" customWidth="1"/>
    <col min="2" max="2" width="2.140625" customWidth="1"/>
    <col min="3" max="3" width="10.85546875" bestFit="1" customWidth="1"/>
    <col min="4" max="4" width="12.5703125" bestFit="1" customWidth="1"/>
    <col min="5" max="5" width="13.85546875" customWidth="1"/>
    <col min="6" max="6" width="12.5703125" bestFit="1" customWidth="1"/>
    <col min="7" max="7" width="14" bestFit="1" customWidth="1"/>
    <col min="8" max="8" width="12" bestFit="1" customWidth="1"/>
    <col min="9" max="9" width="12.140625" bestFit="1" customWidth="1"/>
    <col min="10" max="10" width="13.85546875" bestFit="1" customWidth="1"/>
    <col min="11" max="11" width="12.7109375" bestFit="1" customWidth="1"/>
    <col min="12" max="12" width="10.5703125" bestFit="1" customWidth="1"/>
    <col min="13" max="13" width="12" bestFit="1" customWidth="1"/>
    <col min="14" max="14" width="6" bestFit="1" customWidth="1"/>
    <col min="15" max="15" width="12" bestFit="1" customWidth="1"/>
    <col min="16" max="16" width="8.7109375" bestFit="1" customWidth="1"/>
    <col min="17" max="20" width="10.5703125" bestFit="1" customWidth="1"/>
  </cols>
  <sheetData>
    <row r="1" spans="1:17" ht="50.1" customHeight="1"/>
    <row r="2" spans="1:17" ht="26.25">
      <c r="A2" s="2056">
        <v>2023</v>
      </c>
      <c r="B2" s="2056"/>
      <c r="C2" s="2056"/>
      <c r="D2" s="2056"/>
      <c r="E2" s="2056"/>
      <c r="F2" s="2056"/>
      <c r="G2" s="2056"/>
      <c r="H2" s="2056"/>
      <c r="I2" s="2056"/>
      <c r="J2" s="2056"/>
      <c r="K2" s="2056"/>
      <c r="L2" s="2056"/>
      <c r="M2" s="2056"/>
    </row>
    <row r="3" spans="1:17" ht="18.75">
      <c r="C3" s="2057" t="s">
        <v>715</v>
      </c>
      <c r="D3" s="2057"/>
      <c r="E3" s="2057"/>
      <c r="F3" s="2057"/>
      <c r="G3" s="2057"/>
      <c r="H3" s="2057"/>
      <c r="I3" s="2057"/>
      <c r="J3" s="2057"/>
      <c r="K3" s="2057"/>
    </row>
    <row r="4" spans="1:17" ht="15.75" thickBot="1"/>
    <row r="5" spans="1:17" ht="30.75" customHeight="1" thickBot="1">
      <c r="A5" s="880" t="s">
        <v>338</v>
      </c>
      <c r="C5" s="2058" t="s">
        <v>716</v>
      </c>
      <c r="D5" s="2059"/>
      <c r="E5" s="2059"/>
      <c r="F5" s="2059"/>
      <c r="G5" s="2060"/>
    </row>
    <row r="6" spans="1:17" ht="15.75" thickBot="1">
      <c r="A6" s="881" t="s">
        <v>716</v>
      </c>
      <c r="C6" s="488" t="s">
        <v>121</v>
      </c>
      <c r="D6" s="489" t="s">
        <v>717</v>
      </c>
      <c r="E6" s="490" t="s">
        <v>718</v>
      </c>
      <c r="F6" s="491" t="s">
        <v>719</v>
      </c>
      <c r="G6" s="492" t="s">
        <v>720</v>
      </c>
      <c r="I6" s="2048" t="s">
        <v>721</v>
      </c>
      <c r="J6" s="2049"/>
      <c r="K6" s="2049"/>
      <c r="L6" s="2049"/>
      <c r="M6" s="2049"/>
      <c r="N6" s="2049"/>
      <c r="O6" s="2049"/>
      <c r="P6" s="2049"/>
      <c r="Q6" s="2049"/>
    </row>
    <row r="7" spans="1:17">
      <c r="A7" t="s">
        <v>722</v>
      </c>
      <c r="C7" s="493" t="s">
        <v>127</v>
      </c>
      <c r="D7" s="494">
        <f>Gas!T70</f>
        <v>89442.12</v>
      </c>
      <c r="E7" s="495">
        <v>2.03437</v>
      </c>
      <c r="F7" s="496">
        <f>D7*E7</f>
        <v>181958.36566439999</v>
      </c>
      <c r="G7" s="497">
        <f>F7/1000</f>
        <v>181.95836566439999</v>
      </c>
    </row>
    <row r="8" spans="1:17">
      <c r="C8" s="493" t="s">
        <v>128</v>
      </c>
      <c r="D8" s="498">
        <f>Gas!T71</f>
        <v>86782.22</v>
      </c>
      <c r="E8" s="499">
        <v>2.03437</v>
      </c>
      <c r="F8" s="500">
        <f t="shared" ref="F8:F18" si="0">D8*E8</f>
        <v>176547.1449014</v>
      </c>
      <c r="G8" s="501">
        <f t="shared" ref="G8:G18" si="1">F8/1000</f>
        <v>176.5471449014</v>
      </c>
      <c r="I8" s="502"/>
      <c r="J8" s="502"/>
    </row>
    <row r="9" spans="1:17">
      <c r="C9" s="493" t="s">
        <v>129</v>
      </c>
      <c r="D9" s="498">
        <f>Gas!T72</f>
        <v>86756.42</v>
      </c>
      <c r="E9" s="499">
        <v>2.03437</v>
      </c>
      <c r="F9" s="500">
        <f t="shared" si="0"/>
        <v>176494.65815539999</v>
      </c>
      <c r="G9" s="501">
        <f t="shared" si="1"/>
        <v>176.49465815539997</v>
      </c>
      <c r="I9" s="502"/>
      <c r="J9" s="502"/>
    </row>
    <row r="10" spans="1:17">
      <c r="C10" s="493" t="s">
        <v>130</v>
      </c>
      <c r="D10" s="498">
        <f>Gas!T73</f>
        <v>79223.34</v>
      </c>
      <c r="E10" s="499">
        <v>2.03437</v>
      </c>
      <c r="F10" s="500">
        <f t="shared" si="0"/>
        <v>161169.58619579999</v>
      </c>
      <c r="G10" s="501">
        <f t="shared" si="1"/>
        <v>161.16958619579998</v>
      </c>
      <c r="I10" s="502"/>
      <c r="J10" s="502"/>
    </row>
    <row r="11" spans="1:17">
      <c r="C11" s="493" t="s">
        <v>132</v>
      </c>
      <c r="D11" s="498">
        <f>Gas!T74</f>
        <v>85621.72</v>
      </c>
      <c r="E11" s="499">
        <v>2.03437</v>
      </c>
      <c r="F11" s="500">
        <f t="shared" si="0"/>
        <v>174186.2585164</v>
      </c>
      <c r="G11" s="501">
        <f t="shared" si="1"/>
        <v>174.18625851640002</v>
      </c>
      <c r="I11" s="502"/>
      <c r="J11" s="502"/>
    </row>
    <row r="12" spans="1:17">
      <c r="C12" s="493" t="s">
        <v>134</v>
      </c>
      <c r="D12" s="498">
        <f>Gas!T75</f>
        <v>90891.17</v>
      </c>
      <c r="E12" s="499">
        <v>2.03437</v>
      </c>
      <c r="F12" s="500">
        <f t="shared" si="0"/>
        <v>184906.26951290001</v>
      </c>
      <c r="G12" s="501">
        <f t="shared" si="1"/>
        <v>184.9062695129</v>
      </c>
      <c r="I12" s="502"/>
      <c r="J12" s="502"/>
    </row>
    <row r="13" spans="1:17">
      <c r="C13" s="493" t="s">
        <v>136</v>
      </c>
      <c r="D13" s="498">
        <f>Gas!T76</f>
        <v>90842.27</v>
      </c>
      <c r="E13" s="499">
        <v>2.03437</v>
      </c>
      <c r="F13" s="500">
        <f t="shared" si="0"/>
        <v>184806.78881990002</v>
      </c>
      <c r="G13" s="501">
        <f t="shared" si="1"/>
        <v>184.80678881990002</v>
      </c>
      <c r="I13" s="502"/>
      <c r="J13" s="502"/>
    </row>
    <row r="14" spans="1:17">
      <c r="C14" s="493" t="s">
        <v>138</v>
      </c>
      <c r="D14" s="498">
        <f>Gas!T77</f>
        <v>86697.59</v>
      </c>
      <c r="E14" s="499">
        <v>2.03437</v>
      </c>
      <c r="F14" s="500">
        <f t="shared" si="0"/>
        <v>176374.9761683</v>
      </c>
      <c r="G14" s="501">
        <f t="shared" si="1"/>
        <v>176.37497616830001</v>
      </c>
      <c r="I14" s="502"/>
      <c r="J14" s="502"/>
    </row>
    <row r="15" spans="1:17">
      <c r="C15" s="493" t="s">
        <v>139</v>
      </c>
      <c r="D15" s="498">
        <f>Gas!T78</f>
        <v>96838.23</v>
      </c>
      <c r="E15" s="499">
        <v>2.03437</v>
      </c>
      <c r="F15" s="500">
        <f t="shared" si="0"/>
        <v>197004.7899651</v>
      </c>
      <c r="G15" s="501">
        <f t="shared" si="1"/>
        <v>197.0047899651</v>
      </c>
      <c r="I15" s="502"/>
      <c r="J15" s="502"/>
    </row>
    <row r="16" spans="1:17">
      <c r="C16" s="493" t="s">
        <v>140</v>
      </c>
      <c r="D16" s="498">
        <f>Gas!T79</f>
        <v>95685.67</v>
      </c>
      <c r="E16" s="499">
        <v>2.03437</v>
      </c>
      <c r="F16" s="500">
        <f t="shared" si="0"/>
        <v>194660.05647789998</v>
      </c>
      <c r="G16" s="501">
        <f t="shared" si="1"/>
        <v>194.66005647789999</v>
      </c>
      <c r="I16" s="502"/>
      <c r="J16" s="502"/>
    </row>
    <row r="17" spans="1:21">
      <c r="C17" s="493" t="s">
        <v>142</v>
      </c>
      <c r="D17" s="498">
        <f>Gas!T80</f>
        <v>91122</v>
      </c>
      <c r="E17" s="499">
        <v>2.03437</v>
      </c>
      <c r="F17" s="500">
        <f t="shared" si="0"/>
        <v>185375.86314</v>
      </c>
      <c r="G17" s="501">
        <f t="shared" si="1"/>
        <v>185.37586314000001</v>
      </c>
      <c r="I17" s="502"/>
      <c r="J17" s="502"/>
    </row>
    <row r="18" spans="1:21" ht="15.75" thickBot="1">
      <c r="C18" s="503" t="s">
        <v>144</v>
      </c>
      <c r="D18" s="504">
        <f>Gas!T81</f>
        <v>92968</v>
      </c>
      <c r="E18" s="505">
        <v>2.03437</v>
      </c>
      <c r="F18" s="506">
        <f t="shared" si="0"/>
        <v>189131.31015999999</v>
      </c>
      <c r="G18" s="507">
        <f t="shared" si="1"/>
        <v>189.13131016</v>
      </c>
      <c r="I18" s="502"/>
      <c r="J18" s="502"/>
    </row>
    <row r="19" spans="1:21" ht="15.75" thickBot="1">
      <c r="F19" s="502"/>
      <c r="L19" s="508"/>
    </row>
    <row r="20" spans="1:21" ht="15.75" thickBot="1">
      <c r="C20" s="2053" t="s">
        <v>449</v>
      </c>
      <c r="D20" s="2054"/>
      <c r="E20" s="2054"/>
      <c r="F20" s="2054"/>
      <c r="G20" s="2054"/>
      <c r="H20" s="2054"/>
      <c r="I20" s="2054"/>
      <c r="J20" s="2054"/>
      <c r="K20" s="2055"/>
    </row>
    <row r="21" spans="1:21" ht="45.75" thickBot="1">
      <c r="A21" s="880" t="s">
        <v>338</v>
      </c>
      <c r="C21" s="509" t="s">
        <v>121</v>
      </c>
      <c r="D21" s="510" t="s">
        <v>723</v>
      </c>
      <c r="E21" s="511" t="s">
        <v>724</v>
      </c>
      <c r="F21" s="511" t="s">
        <v>725</v>
      </c>
      <c r="G21" s="512" t="s">
        <v>726</v>
      </c>
      <c r="H21" s="511" t="s">
        <v>727</v>
      </c>
      <c r="I21" s="512" t="s">
        <v>728</v>
      </c>
      <c r="J21" s="513" t="s">
        <v>729</v>
      </c>
      <c r="K21" s="514" t="s">
        <v>719</v>
      </c>
    </row>
    <row r="22" spans="1:21">
      <c r="A22" s="882" t="s">
        <v>449</v>
      </c>
      <c r="C22" s="515" t="s">
        <v>127</v>
      </c>
      <c r="D22" s="516">
        <v>0</v>
      </c>
      <c r="E22" s="517">
        <v>1760</v>
      </c>
      <c r="F22" s="518">
        <v>0</v>
      </c>
      <c r="G22" s="519">
        <v>1924</v>
      </c>
      <c r="H22" s="518">
        <v>0</v>
      </c>
      <c r="I22" s="520">
        <v>1300</v>
      </c>
      <c r="J22" s="521">
        <f>(D22*E22)+(F22*G22)+(H22*I22)</f>
        <v>0</v>
      </c>
      <c r="K22" s="522">
        <f>J22*1000</f>
        <v>0</v>
      </c>
    </row>
    <row r="23" spans="1:21">
      <c r="A23" t="s">
        <v>241</v>
      </c>
      <c r="C23" s="523" t="s">
        <v>128</v>
      </c>
      <c r="D23" s="524">
        <v>0</v>
      </c>
      <c r="E23" s="525">
        <v>1760</v>
      </c>
      <c r="F23" s="526">
        <v>0</v>
      </c>
      <c r="G23" s="527">
        <v>1924</v>
      </c>
      <c r="H23" s="526">
        <v>0</v>
      </c>
      <c r="I23" s="528">
        <v>1300</v>
      </c>
      <c r="J23" s="529">
        <f t="shared" ref="J23:J33" si="2">(D23*E23)+(F23*G23)+(H23*I23)</f>
        <v>0</v>
      </c>
      <c r="K23" s="522">
        <f t="shared" ref="K23:K33" si="3">J23*1000</f>
        <v>0</v>
      </c>
    </row>
    <row r="24" spans="1:21">
      <c r="C24" s="523" t="s">
        <v>129</v>
      </c>
      <c r="D24" s="524">
        <v>0</v>
      </c>
      <c r="E24" s="525">
        <v>1760</v>
      </c>
      <c r="F24" s="526">
        <v>0</v>
      </c>
      <c r="G24" s="527">
        <v>1924</v>
      </c>
      <c r="H24" s="526">
        <v>0</v>
      </c>
      <c r="I24" s="528">
        <v>1300</v>
      </c>
      <c r="J24" s="529">
        <f t="shared" si="2"/>
        <v>0</v>
      </c>
      <c r="K24" s="522">
        <f t="shared" si="3"/>
        <v>0</v>
      </c>
      <c r="L24" s="2048" t="s">
        <v>721</v>
      </c>
      <c r="M24" s="2049"/>
      <c r="N24" s="2049"/>
      <c r="O24" s="2049"/>
      <c r="P24" s="2049"/>
      <c r="Q24" s="2049"/>
      <c r="R24" s="2049"/>
      <c r="S24" s="2049"/>
      <c r="T24" s="2049"/>
      <c r="U24" s="530"/>
    </row>
    <row r="25" spans="1:21">
      <c r="C25" s="523" t="s">
        <v>130</v>
      </c>
      <c r="D25" s="524">
        <v>0</v>
      </c>
      <c r="E25" s="525">
        <v>1760</v>
      </c>
      <c r="F25" s="526">
        <v>0</v>
      </c>
      <c r="G25" s="527">
        <v>1924</v>
      </c>
      <c r="H25" s="526">
        <v>0</v>
      </c>
      <c r="I25" s="528">
        <v>1300</v>
      </c>
      <c r="J25" s="529">
        <f t="shared" si="2"/>
        <v>0</v>
      </c>
      <c r="K25" s="522">
        <f t="shared" si="3"/>
        <v>0</v>
      </c>
    </row>
    <row r="26" spans="1:21">
      <c r="C26" s="523" t="s">
        <v>132</v>
      </c>
      <c r="D26" s="1825">
        <f>27.2/1000</f>
        <v>2.7199999999999998E-2</v>
      </c>
      <c r="E26" s="525">
        <v>1760</v>
      </c>
      <c r="F26" s="526">
        <v>0</v>
      </c>
      <c r="G26" s="527">
        <v>1924</v>
      </c>
      <c r="H26" s="526">
        <v>0</v>
      </c>
      <c r="I26" s="528">
        <v>1300</v>
      </c>
      <c r="J26" s="529">
        <f t="shared" si="2"/>
        <v>47.872</v>
      </c>
      <c r="K26" s="522">
        <f t="shared" si="3"/>
        <v>47872</v>
      </c>
    </row>
    <row r="27" spans="1:21">
      <c r="C27" s="523" t="s">
        <v>134</v>
      </c>
      <c r="D27" s="524">
        <v>0</v>
      </c>
      <c r="E27" s="525">
        <v>1760</v>
      </c>
      <c r="F27" s="1826">
        <f>11.3/1000</f>
        <v>1.1300000000000001E-2</v>
      </c>
      <c r="G27" s="527">
        <v>1924</v>
      </c>
      <c r="H27" s="526">
        <v>0</v>
      </c>
      <c r="I27" s="528">
        <v>1300</v>
      </c>
      <c r="J27" s="529">
        <f t="shared" si="2"/>
        <v>21.741200000000003</v>
      </c>
      <c r="K27" s="522">
        <f t="shared" si="3"/>
        <v>21741.200000000004</v>
      </c>
    </row>
    <row r="28" spans="1:21">
      <c r="C28" s="523" t="s">
        <v>136</v>
      </c>
      <c r="D28" s="524">
        <v>0</v>
      </c>
      <c r="E28" s="525">
        <v>1760</v>
      </c>
      <c r="F28" s="526">
        <v>0</v>
      </c>
      <c r="G28" s="527">
        <v>1924</v>
      </c>
      <c r="H28" s="526">
        <v>0</v>
      </c>
      <c r="I28" s="528">
        <v>1300</v>
      </c>
      <c r="J28" s="529">
        <f t="shared" si="2"/>
        <v>0</v>
      </c>
      <c r="K28" s="522">
        <f t="shared" si="3"/>
        <v>0</v>
      </c>
    </row>
    <row r="29" spans="1:21">
      <c r="C29" s="523" t="s">
        <v>138</v>
      </c>
      <c r="D29" s="524">
        <v>0</v>
      </c>
      <c r="E29" s="525">
        <v>1760</v>
      </c>
      <c r="F29" s="526">
        <v>0</v>
      </c>
      <c r="G29" s="527">
        <v>1924</v>
      </c>
      <c r="H29" s="526">
        <v>0</v>
      </c>
      <c r="I29" s="528">
        <v>1300</v>
      </c>
      <c r="J29" s="529">
        <f t="shared" si="2"/>
        <v>0</v>
      </c>
      <c r="K29" s="522">
        <f t="shared" si="3"/>
        <v>0</v>
      </c>
    </row>
    <row r="30" spans="1:21">
      <c r="C30" s="523" t="s">
        <v>139</v>
      </c>
      <c r="D30" s="1825">
        <f>13.6/1000</f>
        <v>1.3599999999999999E-2</v>
      </c>
      <c r="E30" s="525">
        <v>1760</v>
      </c>
      <c r="F30" s="526">
        <v>0</v>
      </c>
      <c r="G30" s="527">
        <v>1924</v>
      </c>
      <c r="H30" s="526">
        <v>0</v>
      </c>
      <c r="I30" s="528">
        <v>1300</v>
      </c>
      <c r="J30" s="529">
        <f t="shared" si="2"/>
        <v>23.936</v>
      </c>
      <c r="K30" s="522">
        <f t="shared" si="3"/>
        <v>23936</v>
      </c>
    </row>
    <row r="31" spans="1:21">
      <c r="C31" s="523" t="s">
        <v>140</v>
      </c>
      <c r="D31" s="524">
        <v>0</v>
      </c>
      <c r="E31" s="525">
        <v>1760</v>
      </c>
      <c r="F31" s="526">
        <v>0</v>
      </c>
      <c r="G31" s="527">
        <v>1924</v>
      </c>
      <c r="H31" s="526">
        <v>0</v>
      </c>
      <c r="I31" s="528">
        <v>1300</v>
      </c>
      <c r="J31" s="529">
        <f t="shared" si="2"/>
        <v>0</v>
      </c>
      <c r="K31" s="522">
        <f t="shared" si="3"/>
        <v>0</v>
      </c>
    </row>
    <row r="32" spans="1:21">
      <c r="C32" s="523" t="s">
        <v>142</v>
      </c>
      <c r="D32" s="1825">
        <f>13.6/1000</f>
        <v>1.3599999999999999E-2</v>
      </c>
      <c r="E32" s="525">
        <v>1760</v>
      </c>
      <c r="F32" s="1826">
        <f>22.6/1000</f>
        <v>2.2600000000000002E-2</v>
      </c>
      <c r="G32" s="527">
        <v>1924</v>
      </c>
      <c r="H32" s="526">
        <v>0</v>
      </c>
      <c r="I32" s="528">
        <v>1300</v>
      </c>
      <c r="J32" s="529">
        <f t="shared" si="2"/>
        <v>67.418400000000005</v>
      </c>
      <c r="K32" s="522">
        <f t="shared" si="3"/>
        <v>67418.400000000009</v>
      </c>
    </row>
    <row r="33" spans="1:11" ht="15.75" thickBot="1">
      <c r="C33" s="531" t="s">
        <v>144</v>
      </c>
      <c r="D33" s="532">
        <v>0</v>
      </c>
      <c r="E33" s="533">
        <v>1760</v>
      </c>
      <c r="F33" s="534">
        <v>0</v>
      </c>
      <c r="G33" s="535">
        <v>1924</v>
      </c>
      <c r="H33" s="534">
        <v>0</v>
      </c>
      <c r="I33" s="536">
        <v>1300</v>
      </c>
      <c r="J33" s="537">
        <f t="shared" si="2"/>
        <v>0</v>
      </c>
      <c r="K33" s="538">
        <f t="shared" si="3"/>
        <v>0</v>
      </c>
    </row>
    <row r="34" spans="1:11" ht="15.75" thickBot="1"/>
    <row r="35" spans="1:11" ht="15.75" thickBot="1">
      <c r="C35" s="2050" t="s">
        <v>730</v>
      </c>
      <c r="D35" s="2051"/>
      <c r="E35" s="2051"/>
      <c r="F35" s="2051"/>
      <c r="G35" s="2051"/>
      <c r="H35" s="2051"/>
      <c r="I35" s="2052"/>
    </row>
    <row r="36" spans="1:11" ht="30.75" thickBot="1">
      <c r="A36" s="880" t="s">
        <v>338</v>
      </c>
      <c r="C36" s="539" t="s">
        <v>121</v>
      </c>
      <c r="D36" s="540" t="s">
        <v>731</v>
      </c>
      <c r="E36" s="541" t="s">
        <v>732</v>
      </c>
      <c r="F36" s="541" t="s">
        <v>733</v>
      </c>
      <c r="G36" s="541" t="s">
        <v>734</v>
      </c>
      <c r="H36" s="542" t="s">
        <v>735</v>
      </c>
      <c r="I36" s="543" t="s">
        <v>720</v>
      </c>
      <c r="J36" s="530" t="s">
        <v>721</v>
      </c>
    </row>
    <row r="37" spans="1:11">
      <c r="A37" s="883" t="s">
        <v>736</v>
      </c>
      <c r="C37" s="544" t="s">
        <v>127</v>
      </c>
      <c r="D37" s="545">
        <v>1088.37209302326</v>
      </c>
      <c r="E37" s="546">
        <v>1</v>
      </c>
      <c r="F37" s="547">
        <v>1.56</v>
      </c>
      <c r="G37" s="547">
        <v>12.77</v>
      </c>
      <c r="H37" s="548">
        <f>D37*E37*F37*G37</f>
        <v>21681.678139534968</v>
      </c>
      <c r="I37" s="549">
        <f>H37/1000</f>
        <v>21.681678139534966</v>
      </c>
      <c r="K37" s="1375">
        <f t="shared" ref="K37:K42" si="4">H37+H52</f>
        <v>21681.678139534968</v>
      </c>
    </row>
    <row r="38" spans="1:11">
      <c r="A38" t="s">
        <v>737</v>
      </c>
      <c r="C38" s="544" t="s">
        <v>128</v>
      </c>
      <c r="D38" s="550">
        <v>1088.37209302326</v>
      </c>
      <c r="E38" s="551">
        <v>1</v>
      </c>
      <c r="F38" s="552">
        <v>1.56</v>
      </c>
      <c r="G38" s="552">
        <v>12.77</v>
      </c>
      <c r="H38" s="553">
        <f t="shared" ref="H38:H48" si="5">D38*E38*F38*G38</f>
        <v>21681.678139534968</v>
      </c>
      <c r="I38" s="554">
        <f t="shared" ref="I38:I48" si="6">H38/1000</f>
        <v>21.681678139534966</v>
      </c>
      <c r="K38" s="1375">
        <f t="shared" si="4"/>
        <v>21681.678139534968</v>
      </c>
    </row>
    <row r="39" spans="1:11">
      <c r="C39" s="544" t="s">
        <v>129</v>
      </c>
      <c r="D39" s="550">
        <v>1088.37209302326</v>
      </c>
      <c r="E39" s="551">
        <v>1</v>
      </c>
      <c r="F39" s="552">
        <v>1.56</v>
      </c>
      <c r="G39" s="552">
        <v>12.77</v>
      </c>
      <c r="H39" s="553">
        <f t="shared" si="5"/>
        <v>21681.678139534968</v>
      </c>
      <c r="I39" s="554">
        <f t="shared" si="6"/>
        <v>21.681678139534966</v>
      </c>
      <c r="K39" s="1375">
        <f t="shared" si="4"/>
        <v>21681.678139534968</v>
      </c>
    </row>
    <row r="40" spans="1:11">
      <c r="C40" s="544" t="s">
        <v>130</v>
      </c>
      <c r="D40" s="550">
        <v>656.71641791044783</v>
      </c>
      <c r="E40" s="551">
        <v>1</v>
      </c>
      <c r="F40" s="552">
        <v>1.56</v>
      </c>
      <c r="G40" s="552">
        <v>12.77</v>
      </c>
      <c r="H40" s="553">
        <f t="shared" si="5"/>
        <v>13082.579104477612</v>
      </c>
      <c r="I40" s="554">
        <f t="shared" si="6"/>
        <v>13.082579104477613</v>
      </c>
      <c r="K40" s="1375">
        <f t="shared" si="4"/>
        <v>13082.579104477612</v>
      </c>
    </row>
    <row r="41" spans="1:11">
      <c r="C41" s="544" t="s">
        <v>132</v>
      </c>
      <c r="D41" s="550">
        <v>656.71641791044783</v>
      </c>
      <c r="E41" s="551">
        <v>1</v>
      </c>
      <c r="F41" s="552">
        <v>1.56</v>
      </c>
      <c r="G41" s="552">
        <v>12.77</v>
      </c>
      <c r="H41" s="553">
        <f t="shared" si="5"/>
        <v>13082.579104477612</v>
      </c>
      <c r="I41" s="554">
        <f t="shared" si="6"/>
        <v>13.082579104477613</v>
      </c>
      <c r="K41" s="1375">
        <f t="shared" si="4"/>
        <v>13082.579104477612</v>
      </c>
    </row>
    <row r="42" spans="1:11">
      <c r="C42" s="544" t="s">
        <v>134</v>
      </c>
      <c r="D42" s="550">
        <v>656.71641791044783</v>
      </c>
      <c r="E42" s="551">
        <v>1</v>
      </c>
      <c r="F42" s="552">
        <v>1.56</v>
      </c>
      <c r="G42" s="552">
        <v>12.77</v>
      </c>
      <c r="H42" s="553">
        <f t="shared" si="5"/>
        <v>13082.579104477612</v>
      </c>
      <c r="I42" s="554">
        <f t="shared" si="6"/>
        <v>13.082579104477613</v>
      </c>
      <c r="K42" s="1375">
        <f t="shared" si="4"/>
        <v>13082.579104477612</v>
      </c>
    </row>
    <row r="43" spans="1:11">
      <c r="C43" s="544" t="s">
        <v>136</v>
      </c>
      <c r="D43" s="550">
        <f>'Fuel for Shuttle Micro'!AH38</f>
        <v>493.02325581395348</v>
      </c>
      <c r="E43" s="551">
        <v>1</v>
      </c>
      <c r="F43" s="552">
        <v>1.56</v>
      </c>
      <c r="G43" s="552">
        <v>12.77</v>
      </c>
      <c r="H43" s="553">
        <f t="shared" si="5"/>
        <v>9821.6148837209294</v>
      </c>
      <c r="I43" s="554">
        <f t="shared" si="6"/>
        <v>9.8216148837209296</v>
      </c>
      <c r="K43" s="1375">
        <f>H43+H58</f>
        <v>16977.982478066166</v>
      </c>
    </row>
    <row r="44" spans="1:11">
      <c r="C44" s="544" t="s">
        <v>138</v>
      </c>
      <c r="D44" s="550">
        <f>'Fuel for Shuttle Micro'!AM38</f>
        <v>581.44186046511629</v>
      </c>
      <c r="E44" s="551">
        <v>1</v>
      </c>
      <c r="F44" s="552">
        <v>1.56</v>
      </c>
      <c r="G44" s="552">
        <v>12.77</v>
      </c>
      <c r="H44" s="553">
        <f t="shared" si="5"/>
        <v>11583.019590697675</v>
      </c>
      <c r="I44" s="554">
        <f t="shared" si="6"/>
        <v>11.583019590697676</v>
      </c>
      <c r="J44" s="555"/>
      <c r="K44" s="1375">
        <f>H44+H59</f>
        <v>18739.38718504291</v>
      </c>
    </row>
    <row r="45" spans="1:11">
      <c r="C45" s="544" t="s">
        <v>139</v>
      </c>
      <c r="D45" s="550">
        <f>'Fuel for Shuttle Micro'!AR38</f>
        <v>648.60465116279067</v>
      </c>
      <c r="E45" s="551">
        <v>1</v>
      </c>
      <c r="F45" s="552">
        <v>1.56</v>
      </c>
      <c r="G45" s="552">
        <v>12.77</v>
      </c>
      <c r="H45" s="553">
        <f t="shared" si="5"/>
        <v>12920.982976744184</v>
      </c>
      <c r="I45" s="554">
        <f t="shared" si="6"/>
        <v>12.920982976744185</v>
      </c>
      <c r="K45" s="1375">
        <f t="shared" ref="K45:K48" si="7">H45+H60</f>
        <v>20077.350571089421</v>
      </c>
    </row>
    <row r="46" spans="1:11">
      <c r="C46" s="544" t="s">
        <v>140</v>
      </c>
      <c r="D46" s="550">
        <f>'Fuel for Shuttle Micro'!AW38</f>
        <v>627.93023255813955</v>
      </c>
      <c r="E46" s="551">
        <v>1</v>
      </c>
      <c r="F46" s="552">
        <v>1.56</v>
      </c>
      <c r="G46" s="552">
        <v>12.77</v>
      </c>
      <c r="H46" s="553">
        <f t="shared" si="5"/>
        <v>12509.12374883721</v>
      </c>
      <c r="I46" s="554">
        <f t="shared" si="6"/>
        <v>12.50912374883721</v>
      </c>
      <c r="K46" s="1375">
        <f t="shared" si="7"/>
        <v>21156.401258671038</v>
      </c>
    </row>
    <row r="47" spans="1:11">
      <c r="C47" s="544" t="s">
        <v>142</v>
      </c>
      <c r="D47" s="550">
        <f>'Fuel for Shuttle Micro'!BB38</f>
        <v>585.95348837209303</v>
      </c>
      <c r="E47" s="551">
        <v>1</v>
      </c>
      <c r="F47" s="552">
        <v>1.56</v>
      </c>
      <c r="G47" s="552">
        <v>12.77</v>
      </c>
      <c r="H47" s="553">
        <f t="shared" si="5"/>
        <v>11672.89663255814</v>
      </c>
      <c r="I47" s="554">
        <f t="shared" si="6"/>
        <v>11.672896632558141</v>
      </c>
      <c r="K47" s="1375">
        <f t="shared" si="7"/>
        <v>19559.810085492791</v>
      </c>
    </row>
    <row r="48" spans="1:11" ht="15.75" thickBot="1">
      <c r="C48" s="556" t="s">
        <v>144</v>
      </c>
      <c r="D48" s="895">
        <f>'Fuel for Shuttle Micro'!BG38</f>
        <v>593.02325581395348</v>
      </c>
      <c r="E48" s="558">
        <v>1</v>
      </c>
      <c r="F48" s="559">
        <v>1.56</v>
      </c>
      <c r="G48" s="559">
        <v>12.77</v>
      </c>
      <c r="H48" s="560">
        <f t="shared" si="5"/>
        <v>11813.73488372093</v>
      </c>
      <c r="I48" s="561">
        <f t="shared" si="6"/>
        <v>11.81373488372093</v>
      </c>
      <c r="K48" s="1375">
        <f t="shared" si="7"/>
        <v>19864.648427359323</v>
      </c>
    </row>
    <row r="49" spans="1:18" ht="15.75" thickBot="1"/>
    <row r="50" spans="1:18" ht="15.75" thickBot="1">
      <c r="C50" s="2050" t="s">
        <v>738</v>
      </c>
      <c r="D50" s="2051"/>
      <c r="E50" s="2051"/>
      <c r="F50" s="2051"/>
      <c r="G50" s="2051"/>
      <c r="H50" s="2051"/>
      <c r="I50" s="2052"/>
    </row>
    <row r="51" spans="1:18" ht="60.75" thickBot="1">
      <c r="A51" s="880" t="s">
        <v>338</v>
      </c>
      <c r="C51" s="539" t="s">
        <v>121</v>
      </c>
      <c r="D51" s="540" t="s">
        <v>739</v>
      </c>
      <c r="E51" s="541" t="s">
        <v>740</v>
      </c>
      <c r="F51" s="541" t="s">
        <v>741</v>
      </c>
      <c r="G51" s="541" t="s">
        <v>734</v>
      </c>
      <c r="H51" s="542" t="s">
        <v>735</v>
      </c>
      <c r="I51" s="543" t="s">
        <v>720</v>
      </c>
    </row>
    <row r="52" spans="1:18">
      <c r="A52" s="883" t="s">
        <v>736</v>
      </c>
      <c r="C52" s="544" t="s">
        <v>127</v>
      </c>
      <c r="D52" s="545"/>
      <c r="E52" s="546">
        <v>1</v>
      </c>
      <c r="F52" s="562">
        <v>2.5120638845637586</v>
      </c>
      <c r="G52" s="547">
        <v>11.87</v>
      </c>
      <c r="H52" s="548">
        <f>D52*E52*F52*G52</f>
        <v>0</v>
      </c>
      <c r="I52" s="549">
        <f>H52/1000</f>
        <v>0</v>
      </c>
    </row>
    <row r="53" spans="1:18">
      <c r="A53" t="s">
        <v>742</v>
      </c>
      <c r="C53" s="544" t="s">
        <v>128</v>
      </c>
      <c r="D53" s="550"/>
      <c r="E53" s="551">
        <v>1</v>
      </c>
      <c r="F53" s="563">
        <v>2.5120638845637586</v>
      </c>
      <c r="G53" s="552">
        <v>11.87</v>
      </c>
      <c r="H53" s="553">
        <f t="shared" ref="H53:H63" si="8">D53*E53*F53*G53</f>
        <v>0</v>
      </c>
      <c r="I53" s="554">
        <f t="shared" ref="I53:I63" si="9">H53/1000</f>
        <v>0</v>
      </c>
      <c r="J53" s="2048" t="s">
        <v>721</v>
      </c>
      <c r="K53" s="2049"/>
      <c r="L53" s="2049"/>
      <c r="M53" s="2049"/>
      <c r="N53" s="2049"/>
      <c r="O53" s="2049"/>
      <c r="P53" s="2049"/>
      <c r="Q53" s="2049"/>
      <c r="R53" s="2049"/>
    </row>
    <row r="54" spans="1:18">
      <c r="C54" s="544" t="s">
        <v>129</v>
      </c>
      <c r="D54" s="550"/>
      <c r="E54" s="551">
        <v>1</v>
      </c>
      <c r="F54" s="563">
        <v>2.5120638845637586</v>
      </c>
      <c r="G54" s="552">
        <v>11.87</v>
      </c>
      <c r="H54" s="553">
        <f t="shared" si="8"/>
        <v>0</v>
      </c>
      <c r="I54" s="554">
        <f t="shared" si="9"/>
        <v>0</v>
      </c>
    </row>
    <row r="55" spans="1:18">
      <c r="C55" s="544" t="s">
        <v>130</v>
      </c>
      <c r="D55" s="550"/>
      <c r="E55" s="551">
        <v>1</v>
      </c>
      <c r="F55" s="563">
        <v>2.5120638845637586</v>
      </c>
      <c r="G55" s="552">
        <v>11.87</v>
      </c>
      <c r="H55" s="553">
        <f t="shared" si="8"/>
        <v>0</v>
      </c>
      <c r="I55" s="554">
        <f t="shared" si="9"/>
        <v>0</v>
      </c>
    </row>
    <row r="56" spans="1:18">
      <c r="C56" s="544" t="s">
        <v>132</v>
      </c>
      <c r="D56" s="550"/>
      <c r="E56" s="551">
        <v>1</v>
      </c>
      <c r="F56" s="563">
        <v>2.5120638845637586</v>
      </c>
      <c r="G56" s="552">
        <v>11.87</v>
      </c>
      <c r="H56" s="553">
        <f t="shared" si="8"/>
        <v>0</v>
      </c>
      <c r="I56" s="554">
        <f t="shared" si="9"/>
        <v>0</v>
      </c>
    </row>
    <row r="57" spans="1:18">
      <c r="C57" s="544" t="s">
        <v>134</v>
      </c>
      <c r="D57" s="550"/>
      <c r="E57" s="551">
        <v>1</v>
      </c>
      <c r="F57" s="563">
        <v>2.5120638845637586</v>
      </c>
      <c r="G57" s="552">
        <v>11.87</v>
      </c>
      <c r="H57" s="553">
        <f t="shared" si="8"/>
        <v>0</v>
      </c>
      <c r="I57" s="554">
        <f t="shared" si="9"/>
        <v>0</v>
      </c>
    </row>
    <row r="58" spans="1:18">
      <c r="C58" s="544" t="s">
        <v>136</v>
      </c>
      <c r="D58" s="564">
        <v>240</v>
      </c>
      <c r="E58" s="551">
        <v>1</v>
      </c>
      <c r="F58" s="563">
        <v>2.5120638845637586</v>
      </c>
      <c r="G58" s="552">
        <v>11.87</v>
      </c>
      <c r="H58" s="553">
        <f t="shared" si="8"/>
        <v>7156.3675943452354</v>
      </c>
      <c r="I58" s="554">
        <f t="shared" si="9"/>
        <v>7.1563675943452356</v>
      </c>
    </row>
    <row r="59" spans="1:18">
      <c r="C59" s="544" t="s">
        <v>138</v>
      </c>
      <c r="D59" s="564">
        <f>'Diesel '!AM39</f>
        <v>240</v>
      </c>
      <c r="E59" s="551">
        <v>1</v>
      </c>
      <c r="F59" s="563">
        <v>2.5120638845637586</v>
      </c>
      <c r="G59" s="552">
        <v>11.87</v>
      </c>
      <c r="H59" s="553">
        <f t="shared" si="8"/>
        <v>7156.3675943452354</v>
      </c>
      <c r="I59" s="554">
        <f t="shared" si="9"/>
        <v>7.1563675943452356</v>
      </c>
    </row>
    <row r="60" spans="1:18">
      <c r="C60" s="544" t="s">
        <v>139</v>
      </c>
      <c r="D60" s="565">
        <f>'Diesel '!AR39</f>
        <v>240</v>
      </c>
      <c r="E60" s="551">
        <v>1</v>
      </c>
      <c r="F60" s="563">
        <v>2.5120638845637586</v>
      </c>
      <c r="G60" s="552">
        <v>11.87</v>
      </c>
      <c r="H60" s="553">
        <f t="shared" si="8"/>
        <v>7156.3675943452354</v>
      </c>
      <c r="I60" s="554">
        <f t="shared" si="9"/>
        <v>7.1563675943452356</v>
      </c>
    </row>
    <row r="61" spans="1:18">
      <c r="C61" s="544" t="s">
        <v>140</v>
      </c>
      <c r="D61" s="565">
        <f>'Diesel '!AW39</f>
        <v>290</v>
      </c>
      <c r="E61" s="551">
        <v>1</v>
      </c>
      <c r="F61" s="563">
        <v>2.5120638845637586</v>
      </c>
      <c r="G61" s="552">
        <v>11.87</v>
      </c>
      <c r="H61" s="553">
        <f t="shared" si="8"/>
        <v>8647.2775098338261</v>
      </c>
      <c r="I61" s="554">
        <f t="shared" si="9"/>
        <v>8.6472775098338257</v>
      </c>
      <c r="J61" t="s">
        <v>743</v>
      </c>
    </row>
    <row r="62" spans="1:18">
      <c r="C62" s="544" t="s">
        <v>142</v>
      </c>
      <c r="D62" s="565">
        <f>'Diesel '!BB39</f>
        <v>264.5</v>
      </c>
      <c r="E62" s="551">
        <v>1</v>
      </c>
      <c r="F62" s="563">
        <v>2.51206388456376</v>
      </c>
      <c r="G62" s="552">
        <v>11.87</v>
      </c>
      <c r="H62" s="553">
        <f t="shared" si="8"/>
        <v>7886.9134529346484</v>
      </c>
      <c r="I62" s="554">
        <f t="shared" si="9"/>
        <v>7.8869134529346487</v>
      </c>
      <c r="J62" t="s">
        <v>744</v>
      </c>
    </row>
    <row r="63" spans="1:18" ht="15.75" thickBot="1">
      <c r="C63" s="556" t="s">
        <v>144</v>
      </c>
      <c r="D63" s="557">
        <f>'Diesel '!BG39</f>
        <v>270</v>
      </c>
      <c r="E63" s="558">
        <v>1</v>
      </c>
      <c r="F63" s="566">
        <v>2.51206388456376</v>
      </c>
      <c r="G63" s="559">
        <v>11.87</v>
      </c>
      <c r="H63" s="560">
        <f t="shared" si="8"/>
        <v>8050.9135436383931</v>
      </c>
      <c r="I63" s="561">
        <f t="shared" si="9"/>
        <v>8.0509135436383925</v>
      </c>
    </row>
    <row r="65" spans="3:20" ht="15.75" thickBot="1"/>
    <row r="66" spans="3:20" ht="30">
      <c r="C66" s="488" t="s">
        <v>121</v>
      </c>
      <c r="D66" s="567" t="s">
        <v>745</v>
      </c>
      <c r="E66" s="568" t="s">
        <v>746</v>
      </c>
    </row>
    <row r="67" spans="3:20">
      <c r="C67" s="569" t="s">
        <v>127</v>
      </c>
      <c r="D67" s="570">
        <f t="shared" ref="D67:D72" si="10">F7+K22+H37</f>
        <v>203640.04380393494</v>
      </c>
      <c r="E67" s="571">
        <f>D67*0.001</f>
        <v>203.64004380393493</v>
      </c>
      <c r="F67" s="502"/>
    </row>
    <row r="68" spans="3:20">
      <c r="C68" s="569" t="s">
        <v>128</v>
      </c>
      <c r="D68" s="570">
        <f t="shared" si="10"/>
        <v>198228.82304093498</v>
      </c>
      <c r="E68" s="571">
        <f t="shared" ref="E68:E78" si="11">D68*0.001</f>
        <v>198.22882304093497</v>
      </c>
      <c r="F68" s="502"/>
    </row>
    <row r="69" spans="3:20">
      <c r="C69" s="569" t="s">
        <v>129</v>
      </c>
      <c r="D69" s="570">
        <f t="shared" si="10"/>
        <v>198176.33629493497</v>
      </c>
      <c r="E69" s="571">
        <f t="shared" si="11"/>
        <v>198.17633629493497</v>
      </c>
      <c r="F69" s="502"/>
    </row>
    <row r="70" spans="3:20">
      <c r="C70" s="569" t="s">
        <v>130</v>
      </c>
      <c r="D70" s="570">
        <f t="shared" si="10"/>
        <v>174252.16530027759</v>
      </c>
      <c r="E70" s="571">
        <f t="shared" si="11"/>
        <v>174.2521653002776</v>
      </c>
      <c r="F70" s="502"/>
    </row>
    <row r="71" spans="3:20">
      <c r="C71" s="569" t="s">
        <v>132</v>
      </c>
      <c r="D71" s="570">
        <f t="shared" si="10"/>
        <v>235140.8376208776</v>
      </c>
      <c r="E71" s="571">
        <f t="shared" si="11"/>
        <v>235.14083762087762</v>
      </c>
      <c r="F71" s="502"/>
    </row>
    <row r="72" spans="3:20">
      <c r="C72" s="569" t="s">
        <v>134</v>
      </c>
      <c r="D72" s="570">
        <f t="shared" si="10"/>
        <v>219730.04861737764</v>
      </c>
      <c r="E72" s="571">
        <f t="shared" si="11"/>
        <v>219.73004861737766</v>
      </c>
      <c r="F72" s="502"/>
      <c r="I72" s="572"/>
      <c r="J72" s="572"/>
      <c r="K72" s="572"/>
      <c r="L72" s="572"/>
      <c r="M72" s="572"/>
      <c r="N72" s="572"/>
      <c r="O72" s="572"/>
      <c r="P72" s="572"/>
      <c r="Q72" s="572"/>
      <c r="R72" s="572"/>
      <c r="S72" s="572"/>
      <c r="T72" s="572"/>
    </row>
    <row r="73" spans="3:20">
      <c r="C73" s="569" t="s">
        <v>136</v>
      </c>
      <c r="D73" s="570">
        <f>F13+K28+H43+H58</f>
        <v>201784.77129796619</v>
      </c>
      <c r="E73" s="571">
        <f t="shared" si="11"/>
        <v>201.78477129796619</v>
      </c>
    </row>
    <row r="74" spans="3:20">
      <c r="C74" s="569" t="s">
        <v>138</v>
      </c>
      <c r="D74" s="570">
        <f t="shared" ref="D74:D78" si="12">F14+K29+H44+H59</f>
        <v>195114.36335334292</v>
      </c>
      <c r="E74" s="571">
        <f t="shared" si="11"/>
        <v>195.11436335334292</v>
      </c>
    </row>
    <row r="75" spans="3:20">
      <c r="C75" s="569" t="s">
        <v>139</v>
      </c>
      <c r="D75" s="570">
        <f t="shared" si="12"/>
        <v>241018.14053618943</v>
      </c>
      <c r="E75" s="571">
        <f t="shared" si="11"/>
        <v>241.01814053618943</v>
      </c>
    </row>
    <row r="76" spans="3:20">
      <c r="C76" s="569" t="s">
        <v>140</v>
      </c>
      <c r="D76" s="570">
        <f t="shared" si="12"/>
        <v>215816.45773657103</v>
      </c>
      <c r="E76" s="571">
        <f t="shared" si="11"/>
        <v>215.81645773657104</v>
      </c>
    </row>
    <row r="77" spans="3:20">
      <c r="C77" s="569" t="s">
        <v>142</v>
      </c>
      <c r="D77" s="570">
        <f t="shared" si="12"/>
        <v>272354.07322549279</v>
      </c>
      <c r="E77" s="571">
        <f t="shared" si="11"/>
        <v>272.35407322549281</v>
      </c>
    </row>
    <row r="78" spans="3:20" ht="15.75" thickBot="1">
      <c r="C78" s="573" t="s">
        <v>144</v>
      </c>
      <c r="D78" s="574">
        <f t="shared" si="12"/>
        <v>208995.95858735932</v>
      </c>
      <c r="E78" s="575">
        <f t="shared" si="11"/>
        <v>208.99595858735933</v>
      </c>
    </row>
    <row r="81" spans="1:17" ht="26.25">
      <c r="A81" s="2056">
        <v>2024</v>
      </c>
      <c r="B81" s="2056"/>
      <c r="C81" s="2056"/>
      <c r="D81" s="2056"/>
      <c r="E81" s="2056"/>
      <c r="F81" s="2056"/>
      <c r="G81" s="2056"/>
      <c r="H81" s="2056"/>
      <c r="I81" s="2056"/>
      <c r="J81" s="2056"/>
      <c r="K81" s="2056"/>
      <c r="L81" s="2056"/>
      <c r="M81" s="2056"/>
    </row>
    <row r="83" spans="1:17" ht="18.75">
      <c r="C83" s="2057" t="s">
        <v>715</v>
      </c>
      <c r="D83" s="2057"/>
      <c r="E83" s="2057"/>
      <c r="F83" s="2057"/>
      <c r="G83" s="2057"/>
      <c r="H83" s="2057"/>
      <c r="I83" s="2057"/>
      <c r="J83" s="2057"/>
      <c r="K83" s="2057"/>
    </row>
    <row r="84" spans="1:17" ht="15.75" thickBot="1"/>
    <row r="85" spans="1:17" ht="15.75" thickBot="1">
      <c r="A85" s="880" t="s">
        <v>338</v>
      </c>
      <c r="C85" s="2058" t="s">
        <v>716</v>
      </c>
      <c r="D85" s="2059"/>
      <c r="E85" s="2059"/>
      <c r="F85" s="2059"/>
      <c r="G85" s="2060"/>
    </row>
    <row r="86" spans="1:17" ht="15.75" thickBot="1">
      <c r="A86" s="881" t="s">
        <v>716</v>
      </c>
      <c r="C86" s="1282" t="s">
        <v>121</v>
      </c>
      <c r="D86" s="1283" t="s">
        <v>717</v>
      </c>
      <c r="E86" s="1284" t="s">
        <v>718</v>
      </c>
      <c r="F86" s="1285" t="s">
        <v>719</v>
      </c>
      <c r="G86" s="1282" t="s">
        <v>720</v>
      </c>
      <c r="I86" s="2048" t="s">
        <v>721</v>
      </c>
      <c r="J86" s="2049"/>
      <c r="K86" s="2049"/>
      <c r="L86" s="2049"/>
      <c r="M86" s="2049"/>
      <c r="N86" s="2049"/>
      <c r="O86" s="2049"/>
      <c r="P86" s="2049"/>
      <c r="Q86" s="2049"/>
    </row>
    <row r="87" spans="1:17">
      <c r="A87" t="s">
        <v>722</v>
      </c>
      <c r="C87" s="934" t="s">
        <v>127</v>
      </c>
      <c r="D87" s="581">
        <f>Gas!T83</f>
        <v>92272</v>
      </c>
      <c r="E87" s="495">
        <v>2.03437</v>
      </c>
      <c r="F87" s="1286">
        <f>D87*E87</f>
        <v>187715.38863999999</v>
      </c>
      <c r="G87" s="1287">
        <f>F87/1000</f>
        <v>187.71538863999999</v>
      </c>
    </row>
    <row r="88" spans="1:17">
      <c r="C88" s="940" t="s">
        <v>128</v>
      </c>
      <c r="D88" s="586">
        <f>Gas!T84</f>
        <v>0</v>
      </c>
      <c r="E88" s="651">
        <v>2.03437</v>
      </c>
      <c r="F88" s="685">
        <f t="shared" ref="F88:F98" si="13">D88*E88</f>
        <v>0</v>
      </c>
      <c r="G88" s="1194">
        <f t="shared" ref="G88:G98" si="14">F88/1000</f>
        <v>0</v>
      </c>
      <c r="I88" s="502"/>
      <c r="J88" s="502"/>
    </row>
    <row r="89" spans="1:17">
      <c r="C89" s="940" t="s">
        <v>129</v>
      </c>
      <c r="D89" s="586">
        <f>Gas!T85</f>
        <v>0</v>
      </c>
      <c r="E89" s="651">
        <v>2.03437</v>
      </c>
      <c r="F89" s="685">
        <f t="shared" si="13"/>
        <v>0</v>
      </c>
      <c r="G89" s="1194">
        <f t="shared" si="14"/>
        <v>0</v>
      </c>
      <c r="I89" s="502"/>
      <c r="J89" s="502"/>
    </row>
    <row r="90" spans="1:17">
      <c r="C90" s="940" t="s">
        <v>130</v>
      </c>
      <c r="D90" s="586">
        <f>Gas!T86</f>
        <v>0</v>
      </c>
      <c r="E90" s="651">
        <v>2.03437</v>
      </c>
      <c r="F90" s="685">
        <f t="shared" si="13"/>
        <v>0</v>
      </c>
      <c r="G90" s="1194">
        <f t="shared" si="14"/>
        <v>0</v>
      </c>
      <c r="I90" s="502"/>
      <c r="J90" s="502"/>
    </row>
    <row r="91" spans="1:17">
      <c r="C91" s="940" t="s">
        <v>132</v>
      </c>
      <c r="D91" s="586">
        <f>Gas!T87</f>
        <v>0</v>
      </c>
      <c r="E91" s="651">
        <v>2.03437</v>
      </c>
      <c r="F91" s="685">
        <f t="shared" si="13"/>
        <v>0</v>
      </c>
      <c r="G91" s="1194">
        <f t="shared" si="14"/>
        <v>0</v>
      </c>
      <c r="I91" s="502"/>
      <c r="J91" s="502"/>
    </row>
    <row r="92" spans="1:17">
      <c r="C92" s="940" t="s">
        <v>134</v>
      </c>
      <c r="D92" s="586">
        <f>Gas!T88</f>
        <v>0</v>
      </c>
      <c r="E92" s="651">
        <v>2.03437</v>
      </c>
      <c r="F92" s="685">
        <f t="shared" si="13"/>
        <v>0</v>
      </c>
      <c r="G92" s="1194">
        <f t="shared" si="14"/>
        <v>0</v>
      </c>
      <c r="I92" s="502"/>
      <c r="J92" s="502"/>
    </row>
    <row r="93" spans="1:17">
      <c r="C93" s="940" t="s">
        <v>136</v>
      </c>
      <c r="D93" s="586">
        <f>Gas!T89</f>
        <v>0</v>
      </c>
      <c r="E93" s="651">
        <v>2.03437</v>
      </c>
      <c r="F93" s="685">
        <f t="shared" si="13"/>
        <v>0</v>
      </c>
      <c r="G93" s="1194">
        <f t="shared" si="14"/>
        <v>0</v>
      </c>
      <c r="I93" s="502"/>
      <c r="J93" s="502"/>
    </row>
    <row r="94" spans="1:17">
      <c r="C94" s="940" t="s">
        <v>138</v>
      </c>
      <c r="D94" s="586">
        <f>Gas!T90</f>
        <v>0</v>
      </c>
      <c r="E94" s="651">
        <v>2.03437</v>
      </c>
      <c r="F94" s="685">
        <f t="shared" si="13"/>
        <v>0</v>
      </c>
      <c r="G94" s="1194">
        <f t="shared" si="14"/>
        <v>0</v>
      </c>
      <c r="I94" s="502"/>
      <c r="J94" s="502"/>
    </row>
    <row r="95" spans="1:17">
      <c r="C95" s="940" t="s">
        <v>139</v>
      </c>
      <c r="D95" s="586">
        <f>Gas!T91</f>
        <v>0</v>
      </c>
      <c r="E95" s="651">
        <v>2.03437</v>
      </c>
      <c r="F95" s="685">
        <f t="shared" si="13"/>
        <v>0</v>
      </c>
      <c r="G95" s="1194">
        <f t="shared" si="14"/>
        <v>0</v>
      </c>
      <c r="I95" s="502"/>
      <c r="J95" s="502"/>
    </row>
    <row r="96" spans="1:17">
      <c r="C96" s="940" t="s">
        <v>140</v>
      </c>
      <c r="D96" s="586">
        <f>Gas!T92</f>
        <v>0</v>
      </c>
      <c r="E96" s="651">
        <v>2.03437</v>
      </c>
      <c r="F96" s="685">
        <f t="shared" si="13"/>
        <v>0</v>
      </c>
      <c r="G96" s="1194">
        <f t="shared" si="14"/>
        <v>0</v>
      </c>
      <c r="I96" s="502"/>
      <c r="J96" s="502"/>
    </row>
    <row r="97" spans="1:20">
      <c r="C97" s="940" t="s">
        <v>142</v>
      </c>
      <c r="D97" s="586">
        <f>Gas!T93</f>
        <v>0</v>
      </c>
      <c r="E97" s="651">
        <v>2.03437</v>
      </c>
      <c r="F97" s="685">
        <f t="shared" si="13"/>
        <v>0</v>
      </c>
      <c r="G97" s="1194">
        <f t="shared" si="14"/>
        <v>0</v>
      </c>
      <c r="I97" s="502"/>
      <c r="J97" s="502"/>
    </row>
    <row r="98" spans="1:20" ht="15.75" thickBot="1">
      <c r="C98" s="943" t="s">
        <v>144</v>
      </c>
      <c r="D98" s="1288">
        <f>Gas!T94</f>
        <v>0</v>
      </c>
      <c r="E98" s="713">
        <v>2.03437</v>
      </c>
      <c r="F98" s="1289">
        <f t="shared" si="13"/>
        <v>0</v>
      </c>
      <c r="G98" s="1290">
        <f t="shared" si="14"/>
        <v>0</v>
      </c>
      <c r="I98" s="502"/>
      <c r="J98" s="502"/>
    </row>
    <row r="99" spans="1:20" ht="15.75" thickBot="1">
      <c r="F99" s="502"/>
      <c r="L99" s="508"/>
    </row>
    <row r="100" spans="1:20" ht="15.75" thickBot="1">
      <c r="C100" s="2053" t="s">
        <v>449</v>
      </c>
      <c r="D100" s="2054"/>
      <c r="E100" s="2054"/>
      <c r="F100" s="2054"/>
      <c r="G100" s="2054"/>
      <c r="H100" s="2054"/>
      <c r="I100" s="2054"/>
      <c r="J100" s="2054"/>
      <c r="K100" s="2055"/>
    </row>
    <row r="101" spans="1:20" ht="45.75" thickBot="1">
      <c r="A101" s="880" t="s">
        <v>338</v>
      </c>
      <c r="C101" s="509" t="s">
        <v>121</v>
      </c>
      <c r="D101" s="510" t="s">
        <v>723</v>
      </c>
      <c r="E101" s="511" t="s">
        <v>724</v>
      </c>
      <c r="F101" s="511" t="s">
        <v>725</v>
      </c>
      <c r="G101" s="512" t="s">
        <v>726</v>
      </c>
      <c r="H101" s="511" t="s">
        <v>727</v>
      </c>
      <c r="I101" s="512" t="s">
        <v>728</v>
      </c>
      <c r="J101" s="513" t="s">
        <v>729</v>
      </c>
      <c r="K101" s="514" t="s">
        <v>719</v>
      </c>
    </row>
    <row r="102" spans="1:20">
      <c r="A102" s="882" t="s">
        <v>449</v>
      </c>
      <c r="C102" s="515" t="s">
        <v>127</v>
      </c>
      <c r="D102" s="516">
        <v>0</v>
      </c>
      <c r="E102" s="517">
        <v>1760</v>
      </c>
      <c r="F102" s="518">
        <v>0</v>
      </c>
      <c r="G102" s="519">
        <v>1924</v>
      </c>
      <c r="H102" s="518">
        <v>0</v>
      </c>
      <c r="I102" s="520">
        <v>1300</v>
      </c>
      <c r="J102" s="521">
        <f>(D102*E102)+(F102*G102)+(H102*I102)</f>
        <v>0</v>
      </c>
      <c r="K102" s="522">
        <f>J102*1000</f>
        <v>0</v>
      </c>
    </row>
    <row r="103" spans="1:20">
      <c r="A103" t="s">
        <v>241</v>
      </c>
      <c r="C103" s="523" t="s">
        <v>128</v>
      </c>
      <c r="D103" s="524"/>
      <c r="E103" s="525">
        <v>1760</v>
      </c>
      <c r="F103" s="526"/>
      <c r="G103" s="527">
        <v>1924</v>
      </c>
      <c r="H103" s="526"/>
      <c r="I103" s="528">
        <v>1300</v>
      </c>
      <c r="J103" s="529">
        <f t="shared" ref="J103:J113" si="15">(D103*E103)+(F103*G103)+(H103*I103)</f>
        <v>0</v>
      </c>
      <c r="K103" s="522">
        <f t="shared" ref="K103:K113" si="16">J103*1000</f>
        <v>0</v>
      </c>
    </row>
    <row r="104" spans="1:20">
      <c r="C104" s="523" t="s">
        <v>129</v>
      </c>
      <c r="D104" s="524"/>
      <c r="E104" s="525">
        <v>1760</v>
      </c>
      <c r="F104" s="526"/>
      <c r="G104" s="527">
        <v>1924</v>
      </c>
      <c r="H104" s="526"/>
      <c r="I104" s="528">
        <v>1300</v>
      </c>
      <c r="J104" s="529">
        <f t="shared" si="15"/>
        <v>0</v>
      </c>
      <c r="K104" s="522">
        <f t="shared" si="16"/>
        <v>0</v>
      </c>
      <c r="L104" s="2048" t="s">
        <v>721</v>
      </c>
      <c r="M104" s="2049"/>
      <c r="N104" s="2049"/>
      <c r="O104" s="2049"/>
      <c r="P104" s="2049"/>
      <c r="Q104" s="2049"/>
      <c r="R104" s="2049"/>
      <c r="S104" s="2049"/>
      <c r="T104" s="2049"/>
    </row>
    <row r="105" spans="1:20">
      <c r="C105" s="523" t="s">
        <v>130</v>
      </c>
      <c r="D105" s="524"/>
      <c r="E105" s="525">
        <v>1760</v>
      </c>
      <c r="F105" s="526"/>
      <c r="G105" s="527">
        <v>1924</v>
      </c>
      <c r="H105" s="526"/>
      <c r="I105" s="528">
        <v>1300</v>
      </c>
      <c r="J105" s="529">
        <f t="shared" si="15"/>
        <v>0</v>
      </c>
      <c r="K105" s="522">
        <f t="shared" si="16"/>
        <v>0</v>
      </c>
    </row>
    <row r="106" spans="1:20">
      <c r="C106" s="523" t="s">
        <v>132</v>
      </c>
      <c r="D106" s="524"/>
      <c r="E106" s="525">
        <v>1760</v>
      </c>
      <c r="F106" s="526"/>
      <c r="G106" s="527">
        <v>1924</v>
      </c>
      <c r="H106" s="526"/>
      <c r="I106" s="528">
        <v>1300</v>
      </c>
      <c r="J106" s="529">
        <f t="shared" si="15"/>
        <v>0</v>
      </c>
      <c r="K106" s="522">
        <f t="shared" si="16"/>
        <v>0</v>
      </c>
    </row>
    <row r="107" spans="1:20">
      <c r="C107" s="523" t="s">
        <v>134</v>
      </c>
      <c r="D107" s="524"/>
      <c r="E107" s="525">
        <v>1760</v>
      </c>
      <c r="F107" s="526"/>
      <c r="G107" s="527">
        <v>1924</v>
      </c>
      <c r="H107" s="526"/>
      <c r="I107" s="528">
        <v>1300</v>
      </c>
      <c r="J107" s="529">
        <f t="shared" si="15"/>
        <v>0</v>
      </c>
      <c r="K107" s="522">
        <f t="shared" si="16"/>
        <v>0</v>
      </c>
    </row>
    <row r="108" spans="1:20">
      <c r="C108" s="523" t="s">
        <v>136</v>
      </c>
      <c r="D108" s="524"/>
      <c r="E108" s="525">
        <v>1760</v>
      </c>
      <c r="F108" s="526"/>
      <c r="G108" s="527">
        <v>1924</v>
      </c>
      <c r="H108" s="526"/>
      <c r="I108" s="528">
        <v>1300</v>
      </c>
      <c r="J108" s="529">
        <f t="shared" si="15"/>
        <v>0</v>
      </c>
      <c r="K108" s="522">
        <f t="shared" si="16"/>
        <v>0</v>
      </c>
    </row>
    <row r="109" spans="1:20">
      <c r="C109" s="523" t="s">
        <v>138</v>
      </c>
      <c r="D109" s="524"/>
      <c r="E109" s="525">
        <v>1760</v>
      </c>
      <c r="F109" s="526"/>
      <c r="G109" s="527">
        <v>1924</v>
      </c>
      <c r="H109" s="526"/>
      <c r="I109" s="528">
        <v>1300</v>
      </c>
      <c r="J109" s="529">
        <f t="shared" si="15"/>
        <v>0</v>
      </c>
      <c r="K109" s="522">
        <f t="shared" si="16"/>
        <v>0</v>
      </c>
    </row>
    <row r="110" spans="1:20">
      <c r="C110" s="523" t="s">
        <v>139</v>
      </c>
      <c r="D110" s="524"/>
      <c r="E110" s="525">
        <v>1760</v>
      </c>
      <c r="F110" s="526"/>
      <c r="G110" s="527">
        <v>1924</v>
      </c>
      <c r="H110" s="526"/>
      <c r="I110" s="528">
        <v>1300</v>
      </c>
      <c r="J110" s="529">
        <f t="shared" si="15"/>
        <v>0</v>
      </c>
      <c r="K110" s="522">
        <f t="shared" si="16"/>
        <v>0</v>
      </c>
    </row>
    <row r="111" spans="1:20">
      <c r="C111" s="523" t="s">
        <v>140</v>
      </c>
      <c r="D111" s="524"/>
      <c r="E111" s="525">
        <v>1760</v>
      </c>
      <c r="F111" s="526"/>
      <c r="G111" s="527">
        <v>1924</v>
      </c>
      <c r="H111" s="526"/>
      <c r="I111" s="528">
        <v>1300</v>
      </c>
      <c r="J111" s="529">
        <f t="shared" si="15"/>
        <v>0</v>
      </c>
      <c r="K111" s="522">
        <f t="shared" si="16"/>
        <v>0</v>
      </c>
    </row>
    <row r="112" spans="1:20">
      <c r="C112" s="523" t="s">
        <v>142</v>
      </c>
      <c r="D112" s="524"/>
      <c r="E112" s="525">
        <v>1760</v>
      </c>
      <c r="F112" s="526"/>
      <c r="G112" s="527">
        <v>1924</v>
      </c>
      <c r="H112" s="526"/>
      <c r="I112" s="528">
        <v>1300</v>
      </c>
      <c r="J112" s="529">
        <f t="shared" si="15"/>
        <v>0</v>
      </c>
      <c r="K112" s="522">
        <f t="shared" si="16"/>
        <v>0</v>
      </c>
    </row>
    <row r="113" spans="1:11" ht="15.75" thickBot="1">
      <c r="C113" s="531" t="s">
        <v>144</v>
      </c>
      <c r="D113" s="532"/>
      <c r="E113" s="533">
        <v>1760</v>
      </c>
      <c r="F113" s="534"/>
      <c r="G113" s="535">
        <v>1924</v>
      </c>
      <c r="H113" s="534"/>
      <c r="I113" s="536">
        <v>1300</v>
      </c>
      <c r="J113" s="537">
        <f t="shared" si="15"/>
        <v>0</v>
      </c>
      <c r="K113" s="538">
        <f t="shared" si="16"/>
        <v>0</v>
      </c>
    </row>
    <row r="114" spans="1:11" ht="15.75" thickBot="1"/>
    <row r="115" spans="1:11" ht="15.75" thickBot="1">
      <c r="C115" s="2050" t="s">
        <v>730</v>
      </c>
      <c r="D115" s="2051"/>
      <c r="E115" s="2051"/>
      <c r="F115" s="2051"/>
      <c r="G115" s="2051"/>
      <c r="H115" s="2051"/>
      <c r="I115" s="2052"/>
    </row>
    <row r="116" spans="1:11" ht="30.75" thickBot="1">
      <c r="A116" s="880" t="s">
        <v>338</v>
      </c>
      <c r="C116" s="539" t="s">
        <v>121</v>
      </c>
      <c r="D116" s="540" t="s">
        <v>731</v>
      </c>
      <c r="E116" s="541" t="s">
        <v>732</v>
      </c>
      <c r="F116" s="541" t="s">
        <v>733</v>
      </c>
      <c r="G116" s="541" t="s">
        <v>734</v>
      </c>
      <c r="H116" s="542" t="s">
        <v>735</v>
      </c>
      <c r="I116" s="543" t="s">
        <v>720</v>
      </c>
      <c r="J116" s="530" t="s">
        <v>721</v>
      </c>
    </row>
    <row r="117" spans="1:11">
      <c r="A117" s="883" t="s">
        <v>736</v>
      </c>
      <c r="C117" s="544" t="s">
        <v>127</v>
      </c>
      <c r="D117" s="545">
        <f>'Fuel for Shuttle Micro'!BL38</f>
        <v>0</v>
      </c>
      <c r="E117" s="546">
        <v>1</v>
      </c>
      <c r="F117" s="547">
        <v>1.56</v>
      </c>
      <c r="G117" s="547">
        <v>12.77</v>
      </c>
      <c r="H117" s="548">
        <f>D117*E117*F117*G117</f>
        <v>0</v>
      </c>
      <c r="I117" s="549">
        <f>H117/1000</f>
        <v>0</v>
      </c>
      <c r="K117">
        <f t="shared" ref="K117:K122" si="17">H117+H132</f>
        <v>0</v>
      </c>
    </row>
    <row r="118" spans="1:11">
      <c r="A118" t="s">
        <v>737</v>
      </c>
      <c r="C118" s="544" t="s">
        <v>128</v>
      </c>
      <c r="D118" s="550">
        <f>'Fuel for Shuttle Micro'!BQ38</f>
        <v>0</v>
      </c>
      <c r="E118" s="551">
        <v>1</v>
      </c>
      <c r="F118" s="552">
        <v>1.56</v>
      </c>
      <c r="G118" s="552">
        <v>12.77</v>
      </c>
      <c r="H118" s="553">
        <f t="shared" ref="H118:H128" si="18">D118*E118*F118*G118</f>
        <v>0</v>
      </c>
      <c r="I118" s="554">
        <f t="shared" ref="I118:I128" si="19">H118/1000</f>
        <v>0</v>
      </c>
      <c r="K118">
        <f t="shared" si="17"/>
        <v>0</v>
      </c>
    </row>
    <row r="119" spans="1:11">
      <c r="C119" s="544" t="s">
        <v>129</v>
      </c>
      <c r="D119" s="550">
        <f>'Fuel for Shuttle Micro'!BV38</f>
        <v>0</v>
      </c>
      <c r="E119" s="551">
        <v>1</v>
      </c>
      <c r="F119" s="552">
        <v>1.56</v>
      </c>
      <c r="G119" s="552">
        <v>12.77</v>
      </c>
      <c r="H119" s="553">
        <f t="shared" si="18"/>
        <v>0</v>
      </c>
      <c r="I119" s="554">
        <f t="shared" si="19"/>
        <v>0</v>
      </c>
      <c r="K119">
        <f t="shared" si="17"/>
        <v>0</v>
      </c>
    </row>
    <row r="120" spans="1:11">
      <c r="C120" s="544" t="s">
        <v>130</v>
      </c>
      <c r="D120" s="550">
        <f>'Fuel for Shuttle Micro'!CA38</f>
        <v>0</v>
      </c>
      <c r="E120" s="551">
        <v>1</v>
      </c>
      <c r="F120" s="552">
        <v>1.56</v>
      </c>
      <c r="G120" s="552">
        <v>12.77</v>
      </c>
      <c r="H120" s="553">
        <f t="shared" si="18"/>
        <v>0</v>
      </c>
      <c r="I120" s="554">
        <f t="shared" si="19"/>
        <v>0</v>
      </c>
      <c r="K120">
        <f t="shared" si="17"/>
        <v>0</v>
      </c>
    </row>
    <row r="121" spans="1:11">
      <c r="C121" s="544" t="s">
        <v>132</v>
      </c>
      <c r="D121" s="550">
        <f>'Fuel for Shuttle Micro'!CF38</f>
        <v>0</v>
      </c>
      <c r="E121" s="551">
        <v>1</v>
      </c>
      <c r="F121" s="552">
        <v>1.56</v>
      </c>
      <c r="G121" s="552">
        <v>12.77</v>
      </c>
      <c r="H121" s="553">
        <f t="shared" si="18"/>
        <v>0</v>
      </c>
      <c r="I121" s="554">
        <f t="shared" si="19"/>
        <v>0</v>
      </c>
      <c r="K121">
        <f t="shared" si="17"/>
        <v>0</v>
      </c>
    </row>
    <row r="122" spans="1:11">
      <c r="C122" s="544" t="s">
        <v>134</v>
      </c>
      <c r="D122" s="550">
        <f>'Fuel for Shuttle Micro'!CK38</f>
        <v>0</v>
      </c>
      <c r="E122" s="551">
        <v>1</v>
      </c>
      <c r="F122" s="552">
        <v>1.56</v>
      </c>
      <c r="G122" s="552">
        <v>12.77</v>
      </c>
      <c r="H122" s="553">
        <f t="shared" si="18"/>
        <v>0</v>
      </c>
      <c r="I122" s="554">
        <f t="shared" si="19"/>
        <v>0</v>
      </c>
      <c r="K122">
        <f t="shared" si="17"/>
        <v>0</v>
      </c>
    </row>
    <row r="123" spans="1:11">
      <c r="C123" s="544" t="s">
        <v>136</v>
      </c>
      <c r="D123" s="550">
        <f>'Fuel for Shuttle Micro'!CP38</f>
        <v>0</v>
      </c>
      <c r="E123" s="551">
        <v>1</v>
      </c>
      <c r="F123" s="552">
        <v>1.56</v>
      </c>
      <c r="G123" s="552">
        <v>12.77</v>
      </c>
      <c r="H123" s="553">
        <f t="shared" si="18"/>
        <v>0</v>
      </c>
      <c r="I123" s="554">
        <f t="shared" si="19"/>
        <v>0</v>
      </c>
      <c r="K123">
        <f>H123+H138</f>
        <v>0</v>
      </c>
    </row>
    <row r="124" spans="1:11">
      <c r="C124" s="544" t="s">
        <v>138</v>
      </c>
      <c r="D124" s="550">
        <f>'Fuel for Shuttle Micro'!CU38</f>
        <v>0</v>
      </c>
      <c r="E124" s="551">
        <v>1</v>
      </c>
      <c r="F124" s="552">
        <v>1.56</v>
      </c>
      <c r="G124" s="552">
        <v>12.77</v>
      </c>
      <c r="H124" s="553">
        <f t="shared" si="18"/>
        <v>0</v>
      </c>
      <c r="I124" s="554">
        <f t="shared" si="19"/>
        <v>0</v>
      </c>
      <c r="J124" s="555"/>
      <c r="K124">
        <f>H124+H139</f>
        <v>0</v>
      </c>
    </row>
    <row r="125" spans="1:11">
      <c r="C125" s="544" t="s">
        <v>139</v>
      </c>
      <c r="D125" s="550">
        <f>'Fuel for Shuttle Micro'!CZ38</f>
        <v>0</v>
      </c>
      <c r="E125" s="551">
        <v>1</v>
      </c>
      <c r="F125" s="552">
        <v>1.56</v>
      </c>
      <c r="G125" s="552">
        <v>12.77</v>
      </c>
      <c r="H125" s="553">
        <f t="shared" si="18"/>
        <v>0</v>
      </c>
      <c r="I125" s="554">
        <f t="shared" si="19"/>
        <v>0</v>
      </c>
      <c r="K125">
        <f t="shared" ref="K125:K128" si="20">H125+H140</f>
        <v>0</v>
      </c>
    </row>
    <row r="126" spans="1:11">
      <c r="C126" s="544" t="s">
        <v>140</v>
      </c>
      <c r="D126" s="550">
        <f>'Fuel for Shuttle Micro'!DE38</f>
        <v>0</v>
      </c>
      <c r="E126" s="551">
        <v>1</v>
      </c>
      <c r="F126" s="552">
        <v>1.56</v>
      </c>
      <c r="G126" s="552">
        <v>12.77</v>
      </c>
      <c r="H126" s="553">
        <f t="shared" si="18"/>
        <v>0</v>
      </c>
      <c r="I126" s="554">
        <f t="shared" si="19"/>
        <v>0</v>
      </c>
      <c r="K126">
        <f t="shared" si="20"/>
        <v>0</v>
      </c>
    </row>
    <row r="127" spans="1:11">
      <c r="C127" s="544" t="s">
        <v>142</v>
      </c>
      <c r="D127" s="550">
        <f>'Fuel for Shuttle Micro'!DJ38</f>
        <v>0</v>
      </c>
      <c r="E127" s="551">
        <v>1</v>
      </c>
      <c r="F127" s="552">
        <v>1.56</v>
      </c>
      <c r="G127" s="552">
        <v>12.77</v>
      </c>
      <c r="H127" s="553">
        <f t="shared" si="18"/>
        <v>0</v>
      </c>
      <c r="I127" s="554">
        <f t="shared" si="19"/>
        <v>0</v>
      </c>
      <c r="K127">
        <f t="shared" si="20"/>
        <v>0</v>
      </c>
    </row>
    <row r="128" spans="1:11" ht="15.75" thickBot="1">
      <c r="C128" s="556" t="s">
        <v>144</v>
      </c>
      <c r="D128" s="895">
        <f>'Fuel for Shuttle Micro'!DO38</f>
        <v>0</v>
      </c>
      <c r="E128" s="558">
        <v>1</v>
      </c>
      <c r="F128" s="559">
        <v>1.56</v>
      </c>
      <c r="G128" s="559">
        <v>12.77</v>
      </c>
      <c r="H128" s="560">
        <f t="shared" si="18"/>
        <v>0</v>
      </c>
      <c r="I128" s="561">
        <f t="shared" si="19"/>
        <v>0</v>
      </c>
      <c r="K128">
        <f t="shared" si="20"/>
        <v>0</v>
      </c>
    </row>
    <row r="129" spans="1:18" ht="15.75" thickBot="1"/>
    <row r="130" spans="1:18" ht="15.75" thickBot="1">
      <c r="C130" s="2050" t="s">
        <v>738</v>
      </c>
      <c r="D130" s="2051"/>
      <c r="E130" s="2051"/>
      <c r="F130" s="2051"/>
      <c r="G130" s="2051"/>
      <c r="H130" s="2051"/>
      <c r="I130" s="2052"/>
    </row>
    <row r="131" spans="1:18" ht="60.75" thickBot="1">
      <c r="A131" s="880" t="s">
        <v>338</v>
      </c>
      <c r="C131" s="539" t="s">
        <v>121</v>
      </c>
      <c r="D131" s="540" t="s">
        <v>739</v>
      </c>
      <c r="E131" s="541" t="s">
        <v>740</v>
      </c>
      <c r="F131" s="541" t="s">
        <v>741</v>
      </c>
      <c r="G131" s="541" t="s">
        <v>734</v>
      </c>
      <c r="H131" s="542" t="s">
        <v>735</v>
      </c>
      <c r="I131" s="543" t="s">
        <v>720</v>
      </c>
    </row>
    <row r="132" spans="1:18">
      <c r="A132" s="883" t="s">
        <v>736</v>
      </c>
      <c r="C132" s="544" t="s">
        <v>127</v>
      </c>
      <c r="D132" s="545">
        <f>'Diesel '!BM39</f>
        <v>0</v>
      </c>
      <c r="E132" s="546">
        <v>1</v>
      </c>
      <c r="F132" s="562">
        <v>2.5120638845637586</v>
      </c>
      <c r="G132" s="547">
        <v>11.87</v>
      </c>
      <c r="H132" s="548">
        <f>D132*E132*F132*G132</f>
        <v>0</v>
      </c>
      <c r="I132" s="549">
        <f>H132/1000</f>
        <v>0</v>
      </c>
    </row>
    <row r="133" spans="1:18">
      <c r="A133" t="s">
        <v>742</v>
      </c>
      <c r="C133" s="544" t="s">
        <v>128</v>
      </c>
      <c r="D133" s="550">
        <f>'Diesel '!BR39</f>
        <v>0</v>
      </c>
      <c r="E133" s="551">
        <v>1</v>
      </c>
      <c r="F133" s="563">
        <v>2.5120638845637586</v>
      </c>
      <c r="G133" s="552">
        <v>11.87</v>
      </c>
      <c r="H133" s="553">
        <f t="shared" ref="H133:H143" si="21">D133*E133*F133*G133</f>
        <v>0</v>
      </c>
      <c r="I133" s="554">
        <f t="shared" ref="I133:I143" si="22">H133/1000</f>
        <v>0</v>
      </c>
      <c r="J133" s="2048" t="s">
        <v>721</v>
      </c>
      <c r="K133" s="2049"/>
      <c r="L133" s="2049"/>
      <c r="M133" s="2049"/>
      <c r="N133" s="2049"/>
      <c r="O133" s="2049"/>
      <c r="P133" s="2049"/>
      <c r="Q133" s="2049"/>
      <c r="R133" s="2049"/>
    </row>
    <row r="134" spans="1:18">
      <c r="C134" s="544" t="s">
        <v>129</v>
      </c>
      <c r="D134" s="550">
        <f>'Diesel '!BW39</f>
        <v>0</v>
      </c>
      <c r="E134" s="551">
        <v>1</v>
      </c>
      <c r="F134" s="563">
        <v>2.5120638845637586</v>
      </c>
      <c r="G134" s="552">
        <v>11.87</v>
      </c>
      <c r="H134" s="553">
        <f t="shared" si="21"/>
        <v>0</v>
      </c>
      <c r="I134" s="554">
        <f t="shared" si="22"/>
        <v>0</v>
      </c>
    </row>
    <row r="135" spans="1:18">
      <c r="C135" s="544" t="s">
        <v>130</v>
      </c>
      <c r="D135" s="550">
        <f>'Diesel '!CB39</f>
        <v>0</v>
      </c>
      <c r="E135" s="551">
        <v>1</v>
      </c>
      <c r="F135" s="563">
        <v>2.5120638845637586</v>
      </c>
      <c r="G135" s="552">
        <v>11.87</v>
      </c>
      <c r="H135" s="553">
        <f t="shared" si="21"/>
        <v>0</v>
      </c>
      <c r="I135" s="554">
        <f t="shared" si="22"/>
        <v>0</v>
      </c>
    </row>
    <row r="136" spans="1:18">
      <c r="C136" s="544" t="s">
        <v>132</v>
      </c>
      <c r="D136" s="550">
        <f>'Diesel '!CG39</f>
        <v>0</v>
      </c>
      <c r="E136" s="551">
        <v>1</v>
      </c>
      <c r="F136" s="563">
        <v>2.5120638845637586</v>
      </c>
      <c r="G136" s="552">
        <v>11.87</v>
      </c>
      <c r="H136" s="553">
        <f t="shared" si="21"/>
        <v>0</v>
      </c>
      <c r="I136" s="554">
        <f t="shared" si="22"/>
        <v>0</v>
      </c>
    </row>
    <row r="137" spans="1:18">
      <c r="C137" s="544" t="s">
        <v>134</v>
      </c>
      <c r="D137" s="550">
        <f>'Diesel '!CL39</f>
        <v>0</v>
      </c>
      <c r="E137" s="551">
        <v>1</v>
      </c>
      <c r="F137" s="563">
        <v>2.5120638845637586</v>
      </c>
      <c r="G137" s="552">
        <v>11.87</v>
      </c>
      <c r="H137" s="553">
        <f t="shared" si="21"/>
        <v>0</v>
      </c>
      <c r="I137" s="554">
        <f t="shared" si="22"/>
        <v>0</v>
      </c>
    </row>
    <row r="138" spans="1:18">
      <c r="C138" s="544" t="s">
        <v>136</v>
      </c>
      <c r="D138" s="550">
        <f>'Diesel '!CQ39</f>
        <v>0</v>
      </c>
      <c r="E138" s="551">
        <v>1</v>
      </c>
      <c r="F138" s="563">
        <v>2.5120638845637586</v>
      </c>
      <c r="G138" s="552">
        <v>11.87</v>
      </c>
      <c r="H138" s="553">
        <f t="shared" si="21"/>
        <v>0</v>
      </c>
      <c r="I138" s="554">
        <f t="shared" si="22"/>
        <v>0</v>
      </c>
    </row>
    <row r="139" spans="1:18">
      <c r="C139" s="544" t="s">
        <v>138</v>
      </c>
      <c r="D139" s="550">
        <f>'Diesel '!CV39</f>
        <v>0</v>
      </c>
      <c r="E139" s="551">
        <v>1</v>
      </c>
      <c r="F139" s="563">
        <v>2.5120638845637586</v>
      </c>
      <c r="G139" s="552">
        <v>11.87</v>
      </c>
      <c r="H139" s="553">
        <f t="shared" si="21"/>
        <v>0</v>
      </c>
      <c r="I139" s="554">
        <f t="shared" si="22"/>
        <v>0</v>
      </c>
    </row>
    <row r="140" spans="1:18">
      <c r="C140" s="544" t="s">
        <v>139</v>
      </c>
      <c r="D140" s="550">
        <f>'Diesel '!DA39</f>
        <v>0</v>
      </c>
      <c r="E140" s="551">
        <v>1</v>
      </c>
      <c r="F140" s="563">
        <v>2.5120638845637586</v>
      </c>
      <c r="G140" s="552">
        <v>11.87</v>
      </c>
      <c r="H140" s="553">
        <f t="shared" si="21"/>
        <v>0</v>
      </c>
      <c r="I140" s="554">
        <f t="shared" si="22"/>
        <v>0</v>
      </c>
    </row>
    <row r="141" spans="1:18">
      <c r="C141" s="544" t="s">
        <v>140</v>
      </c>
      <c r="D141" s="550">
        <f>'Diesel '!DF39</f>
        <v>0</v>
      </c>
      <c r="E141" s="551">
        <v>1</v>
      </c>
      <c r="F141" s="563">
        <v>2.5120638845637586</v>
      </c>
      <c r="G141" s="552">
        <v>11.87</v>
      </c>
      <c r="H141" s="553">
        <f t="shared" si="21"/>
        <v>0</v>
      </c>
      <c r="I141" s="554">
        <f t="shared" si="22"/>
        <v>0</v>
      </c>
      <c r="J141" t="s">
        <v>743</v>
      </c>
    </row>
    <row r="142" spans="1:18">
      <c r="C142" s="544" t="s">
        <v>142</v>
      </c>
      <c r="D142" s="550">
        <f>'Diesel '!DK39</f>
        <v>0</v>
      </c>
      <c r="E142" s="551">
        <v>1</v>
      </c>
      <c r="F142" s="563">
        <v>2.51206388456376</v>
      </c>
      <c r="G142" s="552">
        <v>11.87</v>
      </c>
      <c r="H142" s="553">
        <f t="shared" si="21"/>
        <v>0</v>
      </c>
      <c r="I142" s="554">
        <f t="shared" si="22"/>
        <v>0</v>
      </c>
      <c r="J142" t="s">
        <v>744</v>
      </c>
    </row>
    <row r="143" spans="1:18" ht="15.75" thickBot="1">
      <c r="C143" s="556" t="s">
        <v>144</v>
      </c>
      <c r="D143" s="895">
        <f>'Diesel '!DP39</f>
        <v>0</v>
      </c>
      <c r="E143" s="558">
        <v>1</v>
      </c>
      <c r="F143" s="566">
        <v>2.51206388456376</v>
      </c>
      <c r="G143" s="559">
        <v>11.87</v>
      </c>
      <c r="H143" s="560">
        <f t="shared" si="21"/>
        <v>0</v>
      </c>
      <c r="I143" s="561">
        <f t="shared" si="22"/>
        <v>0</v>
      </c>
    </row>
    <row r="145" spans="3:20" ht="15.75" thickBot="1"/>
    <row r="146" spans="3:20" ht="30">
      <c r="C146" s="488" t="s">
        <v>121</v>
      </c>
      <c r="D146" s="567" t="s">
        <v>745</v>
      </c>
      <c r="E146" s="568" t="s">
        <v>746</v>
      </c>
    </row>
    <row r="147" spans="3:20">
      <c r="C147" s="569" t="s">
        <v>127</v>
      </c>
      <c r="D147" s="570">
        <f t="shared" ref="D147:D152" si="23">F87+K102+H117</f>
        <v>187715.38863999999</v>
      </c>
      <c r="E147" s="571">
        <f>D147*0.001</f>
        <v>187.71538863999999</v>
      </c>
      <c r="F147" s="502"/>
    </row>
    <row r="148" spans="3:20">
      <c r="C148" s="569" t="s">
        <v>128</v>
      </c>
      <c r="D148" s="570">
        <f t="shared" si="23"/>
        <v>0</v>
      </c>
      <c r="E148" s="571">
        <f t="shared" ref="E148:E158" si="24">D148*0.001</f>
        <v>0</v>
      </c>
      <c r="F148" s="502"/>
    </row>
    <row r="149" spans="3:20">
      <c r="C149" s="569" t="s">
        <v>129</v>
      </c>
      <c r="D149" s="570">
        <f t="shared" si="23"/>
        <v>0</v>
      </c>
      <c r="E149" s="571">
        <f t="shared" si="24"/>
        <v>0</v>
      </c>
      <c r="F149" s="502"/>
    </row>
    <row r="150" spans="3:20">
      <c r="C150" s="569" t="s">
        <v>130</v>
      </c>
      <c r="D150" s="570">
        <f t="shared" si="23"/>
        <v>0</v>
      </c>
      <c r="E150" s="571">
        <f t="shared" si="24"/>
        <v>0</v>
      </c>
      <c r="F150" s="502"/>
    </row>
    <row r="151" spans="3:20">
      <c r="C151" s="569" t="s">
        <v>132</v>
      </c>
      <c r="D151" s="570">
        <f t="shared" si="23"/>
        <v>0</v>
      </c>
      <c r="E151" s="571">
        <f t="shared" si="24"/>
        <v>0</v>
      </c>
      <c r="F151" s="502"/>
    </row>
    <row r="152" spans="3:20">
      <c r="C152" s="569" t="s">
        <v>134</v>
      </c>
      <c r="D152" s="570">
        <f t="shared" si="23"/>
        <v>0</v>
      </c>
      <c r="E152" s="571">
        <f t="shared" si="24"/>
        <v>0</v>
      </c>
      <c r="F152" s="502"/>
      <c r="I152" s="572"/>
      <c r="J152" s="572"/>
      <c r="K152" s="572"/>
      <c r="L152" s="572"/>
      <c r="M152" s="572"/>
      <c r="N152" s="572"/>
      <c r="O152" s="572"/>
      <c r="P152" s="572"/>
      <c r="Q152" s="572"/>
      <c r="R152" s="572"/>
      <c r="S152" s="572"/>
      <c r="T152" s="572"/>
    </row>
    <row r="153" spans="3:20">
      <c r="C153" s="569" t="s">
        <v>136</v>
      </c>
      <c r="D153" s="570">
        <f>F93+K108+H123+H138</f>
        <v>0</v>
      </c>
      <c r="E153" s="571">
        <f t="shared" si="24"/>
        <v>0</v>
      </c>
    </row>
    <row r="154" spans="3:20">
      <c r="C154" s="569" t="s">
        <v>138</v>
      </c>
      <c r="D154" s="570">
        <f t="shared" ref="D154:D158" si="25">F94+K109+H124+H139</f>
        <v>0</v>
      </c>
      <c r="E154" s="571">
        <f t="shared" si="24"/>
        <v>0</v>
      </c>
    </row>
    <row r="155" spans="3:20">
      <c r="C155" s="569" t="s">
        <v>139</v>
      </c>
      <c r="D155" s="570">
        <f t="shared" si="25"/>
        <v>0</v>
      </c>
      <c r="E155" s="571">
        <f t="shared" si="24"/>
        <v>0</v>
      </c>
    </row>
    <row r="156" spans="3:20">
      <c r="C156" s="569" t="s">
        <v>140</v>
      </c>
      <c r="D156" s="570">
        <f t="shared" si="25"/>
        <v>0</v>
      </c>
      <c r="E156" s="571">
        <f t="shared" si="24"/>
        <v>0</v>
      </c>
    </row>
    <row r="157" spans="3:20">
      <c r="C157" s="569" t="s">
        <v>142</v>
      </c>
      <c r="D157" s="570">
        <f t="shared" si="25"/>
        <v>0</v>
      </c>
      <c r="E157" s="571">
        <f t="shared" si="24"/>
        <v>0</v>
      </c>
    </row>
    <row r="158" spans="3:20" ht="15.75" thickBot="1">
      <c r="C158" s="573" t="s">
        <v>144</v>
      </c>
      <c r="D158" s="574">
        <f t="shared" si="25"/>
        <v>0</v>
      </c>
      <c r="E158" s="575">
        <f t="shared" si="24"/>
        <v>0</v>
      </c>
    </row>
  </sheetData>
  <mergeCells count="18">
    <mergeCell ref="A2:M2"/>
    <mergeCell ref="A81:M81"/>
    <mergeCell ref="C83:K83"/>
    <mergeCell ref="C85:G85"/>
    <mergeCell ref="I86:Q86"/>
    <mergeCell ref="J53:R53"/>
    <mergeCell ref="C3:K3"/>
    <mergeCell ref="C5:G5"/>
    <mergeCell ref="I6:Q6"/>
    <mergeCell ref="C20:K20"/>
    <mergeCell ref="L24:T24"/>
    <mergeCell ref="C35:I35"/>
    <mergeCell ref="C50:I50"/>
    <mergeCell ref="L104:T104"/>
    <mergeCell ref="C115:I115"/>
    <mergeCell ref="C130:I130"/>
    <mergeCell ref="J133:R133"/>
    <mergeCell ref="C100:K100"/>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17BD4-0489-43A5-AEB1-7071220E51F9}">
  <dimension ref="A1:N37"/>
  <sheetViews>
    <sheetView workbookViewId="0">
      <pane ySplit="1" topLeftCell="A2" activePane="bottomLeft" state="frozen"/>
      <selection pane="bottomLeft" activeCell="N12" sqref="N12"/>
    </sheetView>
  </sheetViews>
  <sheetFormatPr defaultRowHeight="15"/>
  <cols>
    <col min="1" max="1" width="28.140625" customWidth="1"/>
    <col min="2" max="2" width="1.85546875" customWidth="1"/>
    <col min="3" max="3" width="10.85546875" bestFit="1" customWidth="1"/>
    <col min="4" max="5" width="13.5703125" bestFit="1" customWidth="1"/>
    <col min="6" max="6" width="13.7109375" customWidth="1"/>
    <col min="7" max="8" width="13.140625" bestFit="1" customWidth="1"/>
    <col min="9" max="9" width="15.7109375" customWidth="1"/>
    <col min="10" max="10" width="16.140625" bestFit="1" customWidth="1"/>
    <col min="11" max="11" width="18.5703125" customWidth="1"/>
    <col min="14" max="14" width="10.5703125" bestFit="1" customWidth="1"/>
  </cols>
  <sheetData>
    <row r="1" spans="1:14" ht="50.1" customHeight="1"/>
    <row r="2" spans="1:14" ht="18.75">
      <c r="C2" s="2057" t="s">
        <v>715</v>
      </c>
      <c r="D2" s="2057"/>
      <c r="E2" s="2057"/>
      <c r="F2" s="2057"/>
      <c r="G2" s="2057"/>
      <c r="H2" s="2057"/>
      <c r="I2" s="2057"/>
      <c r="J2" s="2057"/>
      <c r="K2" s="2057"/>
    </row>
    <row r="4" spans="1:14" ht="15.75" thickBot="1">
      <c r="C4" s="2061" t="s">
        <v>747</v>
      </c>
      <c r="D4" s="2062"/>
      <c r="E4" s="2062"/>
      <c r="F4" s="2062"/>
      <c r="G4" s="2062"/>
      <c r="H4" s="2062"/>
      <c r="I4" s="2062"/>
      <c r="J4" s="2062"/>
      <c r="K4" s="2062"/>
    </row>
    <row r="5" spans="1:14" ht="30.75" thickBot="1">
      <c r="A5" s="880" t="s">
        <v>338</v>
      </c>
      <c r="C5" s="576" t="s">
        <v>121</v>
      </c>
      <c r="D5" s="577" t="s">
        <v>748</v>
      </c>
      <c r="E5" s="577" t="s">
        <v>749</v>
      </c>
      <c r="F5" s="577" t="s">
        <v>750</v>
      </c>
      <c r="G5" s="577" t="s">
        <v>751</v>
      </c>
      <c r="H5" s="577" t="s">
        <v>752</v>
      </c>
      <c r="I5" s="578" t="s">
        <v>753</v>
      </c>
      <c r="J5" s="579" t="s">
        <v>754</v>
      </c>
      <c r="K5" s="579" t="s">
        <v>755</v>
      </c>
    </row>
    <row r="6" spans="1:14">
      <c r="A6" s="882" t="s">
        <v>756</v>
      </c>
      <c r="C6" s="521" t="s">
        <v>127</v>
      </c>
      <c r="D6" s="580">
        <f>Electricity!D71</f>
        <v>29842.26</v>
      </c>
      <c r="E6" s="581">
        <f>Electricity!I71</f>
        <v>95040</v>
      </c>
      <c r="F6" s="581">
        <f>Electricity!N71</f>
        <v>121840</v>
      </c>
      <c r="G6" s="582">
        <f t="shared" ref="G6:G17" si="0">SUM(D6:F6)</f>
        <v>246722.26</v>
      </c>
      <c r="H6" s="582">
        <f t="shared" ref="H6:H17" si="1">G6*0.001</f>
        <v>246.72226000000001</v>
      </c>
      <c r="I6" s="520">
        <v>0.67</v>
      </c>
      <c r="J6" s="583">
        <f t="shared" ref="J6:J17" si="2">H6*I6</f>
        <v>165.30391420000001</v>
      </c>
      <c r="K6" s="584">
        <f>J6*1000</f>
        <v>165303.9142</v>
      </c>
    </row>
    <row r="7" spans="1:14">
      <c r="A7" t="s">
        <v>757</v>
      </c>
      <c r="C7" s="569" t="s">
        <v>128</v>
      </c>
      <c r="D7" s="585">
        <f>Electricity!D72</f>
        <v>21789.040000000001</v>
      </c>
      <c r="E7" s="586">
        <f>Electricity!I72</f>
        <v>93500</v>
      </c>
      <c r="F7" s="586">
        <f>Electricity!N72</f>
        <v>108260</v>
      </c>
      <c r="G7" s="587">
        <f t="shared" si="0"/>
        <v>223549.04</v>
      </c>
      <c r="H7" s="587">
        <f t="shared" si="1"/>
        <v>223.54904000000002</v>
      </c>
      <c r="I7" s="588">
        <v>0.67</v>
      </c>
      <c r="J7" s="589">
        <f t="shared" si="2"/>
        <v>149.77785680000002</v>
      </c>
      <c r="K7" s="590">
        <f t="shared" ref="K7:K17" si="3">J7*1000</f>
        <v>149777.85680000004</v>
      </c>
    </row>
    <row r="8" spans="1:14">
      <c r="C8" s="569" t="s">
        <v>129</v>
      </c>
      <c r="D8" s="585">
        <f>Electricity!D73</f>
        <v>27973.48</v>
      </c>
      <c r="E8" s="586">
        <f>Electricity!I73</f>
        <v>118020</v>
      </c>
      <c r="F8" s="586">
        <f>Electricity!N73</f>
        <v>112280</v>
      </c>
      <c r="G8" s="587">
        <f t="shared" si="0"/>
        <v>258273.48</v>
      </c>
      <c r="H8" s="587">
        <f t="shared" si="1"/>
        <v>258.27348000000001</v>
      </c>
      <c r="I8" s="588">
        <v>0.67</v>
      </c>
      <c r="J8" s="589">
        <f t="shared" si="2"/>
        <v>173.04323160000001</v>
      </c>
      <c r="K8" s="590">
        <f t="shared" si="3"/>
        <v>173043.2316</v>
      </c>
      <c r="M8" s="591">
        <v>179049</v>
      </c>
      <c r="N8" s="475">
        <f>M8*12</f>
        <v>2148588</v>
      </c>
    </row>
    <row r="9" spans="1:14">
      <c r="C9" s="569" t="s">
        <v>130</v>
      </c>
      <c r="D9" s="585">
        <f>Electricity!D74</f>
        <v>26495.84</v>
      </c>
      <c r="E9" s="586">
        <f>Electricity!I74</f>
        <v>102340</v>
      </c>
      <c r="F9" s="586">
        <f>Electricity!N74</f>
        <v>115780</v>
      </c>
      <c r="G9" s="587">
        <f t="shared" si="0"/>
        <v>244615.84</v>
      </c>
      <c r="H9" s="587">
        <f t="shared" si="1"/>
        <v>244.61583999999999</v>
      </c>
      <c r="I9" s="588">
        <v>0.67</v>
      </c>
      <c r="J9" s="589">
        <f t="shared" si="2"/>
        <v>163.89261279999999</v>
      </c>
      <c r="K9" s="590">
        <f t="shared" si="3"/>
        <v>163892.6128</v>
      </c>
      <c r="N9" s="592">
        <f>N8/1000</f>
        <v>2148.5880000000002</v>
      </c>
    </row>
    <row r="10" spans="1:14">
      <c r="C10" s="569" t="s">
        <v>132</v>
      </c>
      <c r="D10" s="585">
        <f>Electricity!D75</f>
        <v>32203</v>
      </c>
      <c r="E10" s="586">
        <f>Electricity!I75</f>
        <v>144340</v>
      </c>
      <c r="F10" s="586">
        <f>Electricity!N75</f>
        <v>152460</v>
      </c>
      <c r="G10" s="587">
        <f t="shared" si="0"/>
        <v>329003</v>
      </c>
      <c r="H10" s="587">
        <f t="shared" si="1"/>
        <v>329.00299999999999</v>
      </c>
      <c r="I10" s="588">
        <v>0.67</v>
      </c>
      <c r="J10" s="589">
        <f t="shared" si="2"/>
        <v>220.43200999999999</v>
      </c>
      <c r="K10" s="590">
        <f t="shared" si="3"/>
        <v>220432.00999999998</v>
      </c>
    </row>
    <row r="11" spans="1:14">
      <c r="C11" s="569" t="s">
        <v>134</v>
      </c>
      <c r="D11" s="585">
        <f>Electricity!D76</f>
        <v>32255.52</v>
      </c>
      <c r="E11" s="586">
        <f>Electricity!I76</f>
        <v>139800</v>
      </c>
      <c r="F11" s="586">
        <f>Electricity!N76</f>
        <v>122400</v>
      </c>
      <c r="G11" s="587">
        <f t="shared" si="0"/>
        <v>294455.52</v>
      </c>
      <c r="H11" s="587">
        <f t="shared" si="1"/>
        <v>294.45552000000004</v>
      </c>
      <c r="I11" s="588">
        <v>0.67</v>
      </c>
      <c r="J11" s="589">
        <f t="shared" si="2"/>
        <v>197.28519840000004</v>
      </c>
      <c r="K11" s="590">
        <f t="shared" si="3"/>
        <v>197285.19840000005</v>
      </c>
      <c r="N11">
        <v>172</v>
      </c>
    </row>
    <row r="12" spans="1:14" ht="15.75" customHeight="1">
      <c r="C12" s="569" t="s">
        <v>136</v>
      </c>
      <c r="D12" s="585">
        <f>Electricity!D77</f>
        <v>34860.660000000003</v>
      </c>
      <c r="E12" s="586">
        <f>Electricity!I77</f>
        <v>120740</v>
      </c>
      <c r="F12" s="586">
        <f>Electricity!N77</f>
        <v>118440</v>
      </c>
      <c r="G12" s="587">
        <f t="shared" si="0"/>
        <v>274040.66000000003</v>
      </c>
      <c r="H12" s="587">
        <f t="shared" si="1"/>
        <v>274.04066000000006</v>
      </c>
      <c r="I12" s="588">
        <v>0.67</v>
      </c>
      <c r="J12" s="589">
        <f t="shared" si="2"/>
        <v>183.60724220000006</v>
      </c>
      <c r="K12" s="590">
        <f t="shared" si="3"/>
        <v>183607.24220000007</v>
      </c>
      <c r="N12" s="593">
        <f>N11/N9</f>
        <v>8.0052574062593654E-2</v>
      </c>
    </row>
    <row r="13" spans="1:14">
      <c r="C13" s="569" t="s">
        <v>138</v>
      </c>
      <c r="D13" s="585">
        <f>Electricity!D78</f>
        <v>31105.06</v>
      </c>
      <c r="E13" s="586">
        <f>Electricity!I78</f>
        <v>125120</v>
      </c>
      <c r="F13" s="586">
        <f>Electricity!N78</f>
        <v>123460</v>
      </c>
      <c r="G13" s="587">
        <f t="shared" si="0"/>
        <v>279685.06</v>
      </c>
      <c r="H13" s="587">
        <f t="shared" si="1"/>
        <v>279.68506000000002</v>
      </c>
      <c r="I13" s="588">
        <v>0.67</v>
      </c>
      <c r="J13" s="589">
        <f t="shared" si="2"/>
        <v>187.38899020000002</v>
      </c>
      <c r="K13" s="590">
        <f t="shared" si="3"/>
        <v>187388.99020000003</v>
      </c>
    </row>
    <row r="14" spans="1:14">
      <c r="C14" s="569" t="s">
        <v>139</v>
      </c>
      <c r="D14" s="585">
        <f>Electricity!D79</f>
        <v>35284.6</v>
      </c>
      <c r="E14" s="586">
        <f>Electricity!I79</f>
        <v>120280</v>
      </c>
      <c r="F14" s="586">
        <f>Electricity!N79</f>
        <v>118580</v>
      </c>
      <c r="G14" s="587">
        <f t="shared" si="0"/>
        <v>274144.59999999998</v>
      </c>
      <c r="H14" s="587">
        <f t="shared" si="1"/>
        <v>274.14459999999997</v>
      </c>
      <c r="I14" s="588">
        <v>0.67</v>
      </c>
      <c r="J14" s="589">
        <f t="shared" si="2"/>
        <v>183.67688199999998</v>
      </c>
      <c r="K14" s="590">
        <f t="shared" si="3"/>
        <v>183676.88199999998</v>
      </c>
    </row>
    <row r="15" spans="1:14">
      <c r="C15" s="569" t="s">
        <v>140</v>
      </c>
      <c r="D15" s="585">
        <f>Electricity!D80</f>
        <v>33820.080000000002</v>
      </c>
      <c r="E15" s="586">
        <f>Electricity!I80</f>
        <v>121200</v>
      </c>
      <c r="F15" s="586">
        <f>Electricity!N80</f>
        <v>143320</v>
      </c>
      <c r="G15" s="587">
        <f t="shared" si="0"/>
        <v>298340.08</v>
      </c>
      <c r="H15" s="587">
        <f t="shared" si="1"/>
        <v>298.34008</v>
      </c>
      <c r="I15" s="588">
        <v>0.67</v>
      </c>
      <c r="J15" s="589">
        <f t="shared" si="2"/>
        <v>199.8878536</v>
      </c>
      <c r="K15" s="590">
        <f t="shared" si="3"/>
        <v>199887.8536</v>
      </c>
    </row>
    <row r="16" spans="1:14">
      <c r="C16" s="569" t="s">
        <v>142</v>
      </c>
      <c r="D16" s="585">
        <f>Electricity!D81</f>
        <v>32044.78</v>
      </c>
      <c r="E16" s="586">
        <f>Electricity!I81</f>
        <v>121940</v>
      </c>
      <c r="F16" s="586">
        <f>Electricity!N81</f>
        <v>130640</v>
      </c>
      <c r="G16" s="587">
        <f t="shared" si="0"/>
        <v>284624.78000000003</v>
      </c>
      <c r="H16" s="587">
        <f t="shared" si="1"/>
        <v>284.62478000000004</v>
      </c>
      <c r="I16" s="588">
        <v>0.67</v>
      </c>
      <c r="J16" s="589">
        <f t="shared" si="2"/>
        <v>190.69860260000004</v>
      </c>
      <c r="K16" s="590">
        <f t="shared" si="3"/>
        <v>190698.60260000004</v>
      </c>
    </row>
    <row r="17" spans="1:11" ht="15.75" thickBot="1">
      <c r="C17" s="573" t="s">
        <v>144</v>
      </c>
      <c r="D17" s="594">
        <f>Electricity!D82</f>
        <v>24320</v>
      </c>
      <c r="E17" s="595">
        <f>Electricity!I82</f>
        <v>101900</v>
      </c>
      <c r="F17" s="595">
        <f>Electricity!N82</f>
        <v>99040</v>
      </c>
      <c r="G17" s="596">
        <f t="shared" si="0"/>
        <v>225260</v>
      </c>
      <c r="H17" s="596">
        <f t="shared" si="1"/>
        <v>225.26</v>
      </c>
      <c r="I17" s="597">
        <v>0.67</v>
      </c>
      <c r="J17" s="598">
        <f t="shared" si="2"/>
        <v>150.92420000000001</v>
      </c>
      <c r="K17" s="599">
        <f t="shared" si="3"/>
        <v>150924.20000000001</v>
      </c>
    </row>
    <row r="20" spans="1:11" ht="21">
      <c r="A20" s="2063">
        <v>2024</v>
      </c>
      <c r="B20" s="2063"/>
      <c r="C20" s="2063"/>
      <c r="D20" s="2063"/>
      <c r="E20" s="2063"/>
      <c r="F20" s="2063"/>
      <c r="G20" s="2063"/>
      <c r="H20" s="2063"/>
      <c r="I20" s="2063"/>
      <c r="J20" s="2063"/>
      <c r="K20" s="2063"/>
    </row>
    <row r="22" spans="1:11" ht="18.75">
      <c r="C22" s="2057" t="s">
        <v>715</v>
      </c>
      <c r="D22" s="2057"/>
      <c r="E22" s="2057"/>
      <c r="F22" s="2057"/>
      <c r="G22" s="2057"/>
      <c r="H22" s="2057"/>
      <c r="I22" s="2057"/>
      <c r="J22" s="2057"/>
      <c r="K22" s="2057"/>
    </row>
    <row r="24" spans="1:11" ht="15.75" thickBot="1">
      <c r="C24" s="2061" t="s">
        <v>747</v>
      </c>
      <c r="D24" s="2062"/>
      <c r="E24" s="2062"/>
      <c r="F24" s="2062"/>
      <c r="G24" s="2062"/>
      <c r="H24" s="2062"/>
      <c r="I24" s="2062"/>
      <c r="J24" s="2062"/>
      <c r="K24" s="2062"/>
    </row>
    <row r="25" spans="1:11" ht="30.75" thickBot="1">
      <c r="A25" s="880" t="s">
        <v>338</v>
      </c>
      <c r="C25" s="576" t="s">
        <v>121</v>
      </c>
      <c r="D25" s="577" t="s">
        <v>748</v>
      </c>
      <c r="E25" s="577" t="s">
        <v>749</v>
      </c>
      <c r="F25" s="577" t="s">
        <v>750</v>
      </c>
      <c r="G25" s="577" t="s">
        <v>751</v>
      </c>
      <c r="H25" s="577" t="s">
        <v>752</v>
      </c>
      <c r="I25" s="578" t="s">
        <v>753</v>
      </c>
      <c r="J25" s="579" t="s">
        <v>754</v>
      </c>
      <c r="K25" s="579" t="s">
        <v>755</v>
      </c>
    </row>
    <row r="26" spans="1:11">
      <c r="A26" s="882" t="s">
        <v>756</v>
      </c>
      <c r="C26" s="1296" t="s">
        <v>127</v>
      </c>
      <c r="D26" s="581">
        <f>Electricity!D84</f>
        <v>25975</v>
      </c>
      <c r="E26" s="581">
        <f>Electricity!I84</f>
        <v>100380</v>
      </c>
      <c r="F26" s="581">
        <f>Electricity!N84</f>
        <v>118000</v>
      </c>
      <c r="G26" s="582">
        <f t="shared" ref="G26:G37" si="4">SUM(D26:F26)</f>
        <v>244355</v>
      </c>
      <c r="H26" s="582">
        <f t="shared" ref="H26:H37" si="5">G26*0.001</f>
        <v>244.35500000000002</v>
      </c>
      <c r="I26" s="520">
        <v>0.67</v>
      </c>
      <c r="J26" s="1293">
        <f t="shared" ref="J26:J37" si="6">H26*I26</f>
        <v>163.71785000000003</v>
      </c>
      <c r="K26" s="584">
        <f>J26*1000</f>
        <v>163717.85000000003</v>
      </c>
    </row>
    <row r="27" spans="1:11">
      <c r="A27" t="s">
        <v>757</v>
      </c>
      <c r="C27" s="1297" t="s">
        <v>128</v>
      </c>
      <c r="D27" s="586">
        <f>Electricity!D85</f>
        <v>0</v>
      </c>
      <c r="E27" s="586">
        <f>Electricity!I85</f>
        <v>0</v>
      </c>
      <c r="F27" s="586">
        <f>Electricity!N85</f>
        <v>0</v>
      </c>
      <c r="G27" s="587">
        <f t="shared" si="4"/>
        <v>0</v>
      </c>
      <c r="H27" s="587">
        <f t="shared" si="5"/>
        <v>0</v>
      </c>
      <c r="I27" s="588">
        <v>0.67</v>
      </c>
      <c r="J27" s="1294">
        <f t="shared" si="6"/>
        <v>0</v>
      </c>
      <c r="K27" s="590">
        <f t="shared" ref="K27:K37" si="7">J27*1000</f>
        <v>0</v>
      </c>
    </row>
    <row r="28" spans="1:11">
      <c r="C28" s="1297" t="s">
        <v>129</v>
      </c>
      <c r="D28" s="586">
        <f>Electricity!D86</f>
        <v>0</v>
      </c>
      <c r="E28" s="586">
        <f>Electricity!I86</f>
        <v>0</v>
      </c>
      <c r="F28" s="586">
        <f>Electricity!N86</f>
        <v>0</v>
      </c>
      <c r="G28" s="587">
        <f t="shared" si="4"/>
        <v>0</v>
      </c>
      <c r="H28" s="587">
        <f t="shared" si="5"/>
        <v>0</v>
      </c>
      <c r="I28" s="588">
        <v>0.67</v>
      </c>
      <c r="J28" s="1294">
        <f t="shared" si="6"/>
        <v>0</v>
      </c>
      <c r="K28" s="590">
        <f t="shared" si="7"/>
        <v>0</v>
      </c>
    </row>
    <row r="29" spans="1:11">
      <c r="C29" s="1297" t="s">
        <v>130</v>
      </c>
      <c r="D29" s="586">
        <f>Electricity!D87</f>
        <v>0</v>
      </c>
      <c r="E29" s="586">
        <f>Electricity!I87</f>
        <v>0</v>
      </c>
      <c r="F29" s="586">
        <f>Electricity!N87</f>
        <v>0</v>
      </c>
      <c r="G29" s="587">
        <f t="shared" si="4"/>
        <v>0</v>
      </c>
      <c r="H29" s="587">
        <f t="shared" si="5"/>
        <v>0</v>
      </c>
      <c r="I29" s="588">
        <v>0.67</v>
      </c>
      <c r="J29" s="1294">
        <f t="shared" si="6"/>
        <v>0</v>
      </c>
      <c r="K29" s="590">
        <f t="shared" si="7"/>
        <v>0</v>
      </c>
    </row>
    <row r="30" spans="1:11">
      <c r="C30" s="1297" t="s">
        <v>132</v>
      </c>
      <c r="D30" s="586">
        <f>Electricity!D88</f>
        <v>0</v>
      </c>
      <c r="E30" s="586">
        <f>Electricity!I88</f>
        <v>0</v>
      </c>
      <c r="F30" s="586">
        <f>Electricity!N88</f>
        <v>0</v>
      </c>
      <c r="G30" s="587">
        <f t="shared" si="4"/>
        <v>0</v>
      </c>
      <c r="H30" s="587">
        <f t="shared" si="5"/>
        <v>0</v>
      </c>
      <c r="I30" s="588">
        <v>0.67</v>
      </c>
      <c r="J30" s="1294">
        <f t="shared" si="6"/>
        <v>0</v>
      </c>
      <c r="K30" s="590">
        <f t="shared" si="7"/>
        <v>0</v>
      </c>
    </row>
    <row r="31" spans="1:11">
      <c r="C31" s="1297" t="s">
        <v>134</v>
      </c>
      <c r="D31" s="586">
        <f>Electricity!D89</f>
        <v>0</v>
      </c>
      <c r="E31" s="586">
        <f>Electricity!I89</f>
        <v>0</v>
      </c>
      <c r="F31" s="586">
        <f>Electricity!N89</f>
        <v>0</v>
      </c>
      <c r="G31" s="587">
        <f t="shared" si="4"/>
        <v>0</v>
      </c>
      <c r="H31" s="587">
        <f t="shared" si="5"/>
        <v>0</v>
      </c>
      <c r="I31" s="588">
        <v>0.67</v>
      </c>
      <c r="J31" s="1294">
        <f t="shared" si="6"/>
        <v>0</v>
      </c>
      <c r="K31" s="590">
        <f t="shared" si="7"/>
        <v>0</v>
      </c>
    </row>
    <row r="32" spans="1:11">
      <c r="C32" s="1297" t="s">
        <v>136</v>
      </c>
      <c r="D32" s="586">
        <f>Electricity!D90</f>
        <v>0</v>
      </c>
      <c r="E32" s="586">
        <f>Electricity!I90</f>
        <v>0</v>
      </c>
      <c r="F32" s="586">
        <f>Electricity!N90</f>
        <v>0</v>
      </c>
      <c r="G32" s="587">
        <f t="shared" si="4"/>
        <v>0</v>
      </c>
      <c r="H32" s="587">
        <f t="shared" si="5"/>
        <v>0</v>
      </c>
      <c r="I32" s="588">
        <v>0.67</v>
      </c>
      <c r="J32" s="1294">
        <f t="shared" si="6"/>
        <v>0</v>
      </c>
      <c r="K32" s="590">
        <f t="shared" si="7"/>
        <v>0</v>
      </c>
    </row>
    <row r="33" spans="3:11">
      <c r="C33" s="1297" t="s">
        <v>138</v>
      </c>
      <c r="D33" s="586">
        <f>Electricity!D91</f>
        <v>0</v>
      </c>
      <c r="E33" s="586">
        <f>Electricity!I91</f>
        <v>0</v>
      </c>
      <c r="F33" s="586">
        <f>Electricity!N91</f>
        <v>0</v>
      </c>
      <c r="G33" s="587">
        <f t="shared" si="4"/>
        <v>0</v>
      </c>
      <c r="H33" s="587">
        <f t="shared" si="5"/>
        <v>0</v>
      </c>
      <c r="I33" s="588">
        <v>0.67</v>
      </c>
      <c r="J33" s="1294">
        <f t="shared" si="6"/>
        <v>0</v>
      </c>
      <c r="K33" s="590">
        <f t="shared" si="7"/>
        <v>0</v>
      </c>
    </row>
    <row r="34" spans="3:11">
      <c r="C34" s="1297" t="s">
        <v>139</v>
      </c>
      <c r="D34" s="586">
        <f>Electricity!D92</f>
        <v>0</v>
      </c>
      <c r="E34" s="586">
        <f>Electricity!I92</f>
        <v>0</v>
      </c>
      <c r="F34" s="586">
        <f>Electricity!N92</f>
        <v>0</v>
      </c>
      <c r="G34" s="587">
        <f t="shared" si="4"/>
        <v>0</v>
      </c>
      <c r="H34" s="587">
        <f t="shared" si="5"/>
        <v>0</v>
      </c>
      <c r="I34" s="588">
        <v>0.67</v>
      </c>
      <c r="J34" s="1294">
        <f t="shared" si="6"/>
        <v>0</v>
      </c>
      <c r="K34" s="590">
        <f t="shared" si="7"/>
        <v>0</v>
      </c>
    </row>
    <row r="35" spans="3:11">
      <c r="C35" s="1297" t="s">
        <v>140</v>
      </c>
      <c r="D35" s="586">
        <f>Electricity!D93</f>
        <v>0</v>
      </c>
      <c r="E35" s="586">
        <f>Electricity!I93</f>
        <v>0</v>
      </c>
      <c r="F35" s="586">
        <f>Electricity!N93</f>
        <v>0</v>
      </c>
      <c r="G35" s="587">
        <f t="shared" si="4"/>
        <v>0</v>
      </c>
      <c r="H35" s="587">
        <f t="shared" si="5"/>
        <v>0</v>
      </c>
      <c r="I35" s="588">
        <v>0.67</v>
      </c>
      <c r="J35" s="1294">
        <f t="shared" si="6"/>
        <v>0</v>
      </c>
      <c r="K35" s="590">
        <f t="shared" si="7"/>
        <v>0</v>
      </c>
    </row>
    <row r="36" spans="3:11">
      <c r="C36" s="1297" t="s">
        <v>142</v>
      </c>
      <c r="D36" s="586">
        <f>Electricity!D94</f>
        <v>0</v>
      </c>
      <c r="E36" s="586">
        <f>Electricity!I94</f>
        <v>0</v>
      </c>
      <c r="F36" s="586">
        <f>Electricity!N94</f>
        <v>0</v>
      </c>
      <c r="G36" s="587">
        <f t="shared" si="4"/>
        <v>0</v>
      </c>
      <c r="H36" s="587">
        <f t="shared" si="5"/>
        <v>0</v>
      </c>
      <c r="I36" s="588">
        <v>0.67</v>
      </c>
      <c r="J36" s="1294">
        <f t="shared" si="6"/>
        <v>0</v>
      </c>
      <c r="K36" s="590">
        <f t="shared" si="7"/>
        <v>0</v>
      </c>
    </row>
    <row r="37" spans="3:11" ht="15.75" thickBot="1">
      <c r="C37" s="1298" t="s">
        <v>144</v>
      </c>
      <c r="D37" s="1288">
        <f>Electricity!D95</f>
        <v>0</v>
      </c>
      <c r="E37" s="1288">
        <f>Electricity!I95</f>
        <v>0</v>
      </c>
      <c r="F37" s="1288">
        <f>Electricity!N95</f>
        <v>0</v>
      </c>
      <c r="G37" s="596">
        <f t="shared" si="4"/>
        <v>0</v>
      </c>
      <c r="H37" s="596">
        <f t="shared" si="5"/>
        <v>0</v>
      </c>
      <c r="I37" s="597">
        <v>0.67</v>
      </c>
      <c r="J37" s="1295">
        <f t="shared" si="6"/>
        <v>0</v>
      </c>
      <c r="K37" s="599">
        <f t="shared" si="7"/>
        <v>0</v>
      </c>
    </row>
  </sheetData>
  <mergeCells count="5">
    <mergeCell ref="C2:K2"/>
    <mergeCell ref="C4:K4"/>
    <mergeCell ref="A20:K20"/>
    <mergeCell ref="C22:K22"/>
    <mergeCell ref="C24:K24"/>
  </mergeCell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E447A-455E-4586-BC08-4A6F0A5681DF}">
  <dimension ref="A1:S219"/>
  <sheetViews>
    <sheetView showGridLines="0" zoomScaleNormal="100" workbookViewId="0">
      <pane ySplit="1" topLeftCell="A2" activePane="bottomLeft" state="frozen"/>
      <selection pane="bottomLeft" activeCell="F42" sqref="F42"/>
    </sheetView>
  </sheetViews>
  <sheetFormatPr defaultRowHeight="15"/>
  <cols>
    <col min="1" max="1" width="32.28515625" bestFit="1" customWidth="1"/>
    <col min="2" max="2" width="2" customWidth="1"/>
    <col min="3" max="3" width="10.85546875" bestFit="1" customWidth="1"/>
    <col min="4" max="4" width="18.7109375" bestFit="1" customWidth="1"/>
    <col min="5" max="5" width="12.140625" customWidth="1"/>
    <col min="6" max="6" width="11.85546875" customWidth="1"/>
    <col min="7" max="7" width="11.28515625" customWidth="1"/>
    <col min="8" max="8" width="14.28515625" customWidth="1"/>
    <col min="9" max="9" width="12" bestFit="1" customWidth="1"/>
    <col min="10" max="10" width="15.42578125" customWidth="1"/>
    <col min="11" max="11" width="12" customWidth="1"/>
    <col min="12" max="12" width="12.5703125" bestFit="1" customWidth="1"/>
    <col min="13" max="13" width="11.5703125" customWidth="1"/>
    <col min="14" max="14" width="13.7109375" customWidth="1"/>
    <col min="17" max="17" width="11.5703125" bestFit="1" customWidth="1"/>
    <col min="18" max="18" width="13.7109375" bestFit="1" customWidth="1"/>
  </cols>
  <sheetData>
    <row r="1" spans="1:19" ht="50.1" customHeight="1"/>
    <row r="2" spans="1:19" ht="18.75">
      <c r="C2" s="2057" t="s">
        <v>715</v>
      </c>
      <c r="D2" s="2057"/>
      <c r="E2" s="2057"/>
      <c r="F2" s="2057"/>
      <c r="G2" s="2057"/>
      <c r="H2" s="2057"/>
      <c r="I2" s="2057"/>
      <c r="J2" s="2057"/>
      <c r="K2" s="2057"/>
    </row>
    <row r="4" spans="1:19">
      <c r="C4" s="2087" t="s">
        <v>758</v>
      </c>
      <c r="D4" s="2089"/>
      <c r="E4" s="2089"/>
      <c r="F4" s="2089"/>
      <c r="G4" s="2089"/>
      <c r="H4" s="2089"/>
      <c r="I4" s="2089"/>
      <c r="J4" s="2088"/>
      <c r="K4" s="2048" t="s">
        <v>721</v>
      </c>
      <c r="L4" s="2049"/>
      <c r="M4" s="2049"/>
      <c r="N4" s="2049"/>
      <c r="O4" s="2049"/>
      <c r="P4" s="2049"/>
      <c r="Q4" s="2049"/>
      <c r="R4" s="2049"/>
      <c r="S4" s="2049"/>
    </row>
    <row r="5" spans="1:19" ht="75">
      <c r="A5" s="880" t="s">
        <v>338</v>
      </c>
      <c r="C5" s="1858" t="s">
        <v>121</v>
      </c>
      <c r="D5" s="1855" t="s">
        <v>759</v>
      </c>
      <c r="E5" s="1856" t="s">
        <v>760</v>
      </c>
      <c r="F5" s="1856" t="s">
        <v>761</v>
      </c>
      <c r="G5" s="1856" t="s">
        <v>762</v>
      </c>
      <c r="H5" s="1856" t="s">
        <v>763</v>
      </c>
      <c r="I5" s="1857" t="s">
        <v>764</v>
      </c>
      <c r="J5" s="1859" t="s">
        <v>765</v>
      </c>
      <c r="L5" s="605" t="s">
        <v>766</v>
      </c>
      <c r="M5" s="606" t="s">
        <v>767</v>
      </c>
    </row>
    <row r="6" spans="1:19">
      <c r="A6" s="1008" t="s">
        <v>768</v>
      </c>
      <c r="C6" s="529" t="s">
        <v>127</v>
      </c>
      <c r="D6" s="1860">
        <v>46.9</v>
      </c>
      <c r="E6" s="1861">
        <v>276</v>
      </c>
      <c r="F6" s="1040">
        <v>26</v>
      </c>
      <c r="G6" s="1040">
        <v>5</v>
      </c>
      <c r="H6" s="1040">
        <v>0.26913999999999999</v>
      </c>
      <c r="I6" s="1862">
        <f t="shared" ref="I6:I11" si="0">D6*E6*H6</f>
        <v>3483.8558159999998</v>
      </c>
      <c r="J6" s="609">
        <f>I6/1000</f>
        <v>3.4838558159999997</v>
      </c>
      <c r="L6" s="610" t="s">
        <v>769</v>
      </c>
      <c r="M6" s="610">
        <v>14.3</v>
      </c>
    </row>
    <row r="7" spans="1:19">
      <c r="A7" t="s">
        <v>770</v>
      </c>
      <c r="C7" s="569" t="s">
        <v>128</v>
      </c>
      <c r="D7" s="611">
        <v>46.9</v>
      </c>
      <c r="E7" s="616">
        <v>253</v>
      </c>
      <c r="F7" s="612">
        <v>26</v>
      </c>
      <c r="G7" s="612">
        <v>5</v>
      </c>
      <c r="H7" s="612">
        <v>0.26913999999999999</v>
      </c>
      <c r="I7" s="617">
        <f t="shared" si="0"/>
        <v>3193.5344979999995</v>
      </c>
      <c r="J7" s="614">
        <f t="shared" ref="J7:J17" si="1">I7/1000</f>
        <v>3.1935344979999996</v>
      </c>
      <c r="L7" s="610" t="s">
        <v>771</v>
      </c>
      <c r="M7" s="610">
        <v>11.3</v>
      </c>
    </row>
    <row r="8" spans="1:19">
      <c r="C8" s="569" t="s">
        <v>129</v>
      </c>
      <c r="D8" s="611">
        <v>46.9</v>
      </c>
      <c r="E8" s="616">
        <v>265</v>
      </c>
      <c r="F8" s="612">
        <v>26</v>
      </c>
      <c r="G8" s="612">
        <v>5</v>
      </c>
      <c r="H8" s="612">
        <v>0.26913999999999999</v>
      </c>
      <c r="I8" s="617">
        <f t="shared" si="0"/>
        <v>3345.0064899999998</v>
      </c>
      <c r="J8" s="614">
        <f t="shared" si="1"/>
        <v>3.3450064899999998</v>
      </c>
      <c r="L8" s="610" t="s">
        <v>772</v>
      </c>
      <c r="M8" s="610">
        <v>12</v>
      </c>
    </row>
    <row r="9" spans="1:19">
      <c r="C9" s="569" t="s">
        <v>130</v>
      </c>
      <c r="D9" s="611">
        <v>58.900000000000006</v>
      </c>
      <c r="E9" s="616">
        <v>240</v>
      </c>
      <c r="F9" s="612">
        <v>26</v>
      </c>
      <c r="G9" s="612">
        <v>5</v>
      </c>
      <c r="H9" s="612">
        <v>0.26913999999999999</v>
      </c>
      <c r="I9" s="617">
        <f t="shared" si="0"/>
        <v>3804.5630400000005</v>
      </c>
      <c r="J9" s="614">
        <f t="shared" si="1"/>
        <v>3.8045630400000006</v>
      </c>
      <c r="L9" s="610" t="s">
        <v>773</v>
      </c>
      <c r="M9" s="610">
        <v>10</v>
      </c>
    </row>
    <row r="10" spans="1:19">
      <c r="C10" s="569" t="s">
        <v>132</v>
      </c>
      <c r="D10" s="611">
        <v>58.900000000000006</v>
      </c>
      <c r="E10" s="616">
        <v>244</v>
      </c>
      <c r="F10" s="612">
        <v>26</v>
      </c>
      <c r="G10" s="612">
        <v>5</v>
      </c>
      <c r="H10" s="612">
        <v>0.26913999999999999</v>
      </c>
      <c r="I10" s="617">
        <f t="shared" si="0"/>
        <v>3867.9724240000005</v>
      </c>
      <c r="J10" s="614">
        <f t="shared" si="1"/>
        <v>3.8679724240000004</v>
      </c>
      <c r="L10" s="615" t="s">
        <v>774</v>
      </c>
      <c r="M10" s="615">
        <v>11.3</v>
      </c>
    </row>
    <row r="11" spans="1:19">
      <c r="C11" s="569" t="s">
        <v>134</v>
      </c>
      <c r="D11" s="611">
        <v>58.900000000000006</v>
      </c>
      <c r="E11" s="616">
        <v>262</v>
      </c>
      <c r="F11" s="612">
        <v>26</v>
      </c>
      <c r="G11" s="612">
        <v>5</v>
      </c>
      <c r="H11" s="612">
        <v>0.26913999999999999</v>
      </c>
      <c r="I11" s="617">
        <f t="shared" si="0"/>
        <v>4153.314652</v>
      </c>
      <c r="J11" s="614">
        <f t="shared" si="1"/>
        <v>4.1533146519999997</v>
      </c>
      <c r="L11" s="615" t="s">
        <v>775</v>
      </c>
      <c r="M11" s="615">
        <v>5</v>
      </c>
    </row>
    <row r="12" spans="1:19">
      <c r="C12" s="569" t="s">
        <v>136</v>
      </c>
      <c r="D12" s="611">
        <v>63.900000000000006</v>
      </c>
      <c r="E12" s="616">
        <v>218</v>
      </c>
      <c r="F12" s="616">
        <v>15</v>
      </c>
      <c r="G12" s="616">
        <v>6</v>
      </c>
      <c r="H12" s="612">
        <v>0.26913999999999999</v>
      </c>
      <c r="I12" s="617">
        <f>D12*E12*H12</f>
        <v>3749.1740279999999</v>
      </c>
      <c r="J12" s="618">
        <f t="shared" si="1"/>
        <v>3.7491740280000001</v>
      </c>
      <c r="L12" s="619" t="s">
        <v>335</v>
      </c>
      <c r="M12" s="620">
        <f>AVERAGE(M6:M11)</f>
        <v>10.65</v>
      </c>
    </row>
    <row r="13" spans="1:19" ht="15.75" thickBot="1">
      <c r="C13" s="569" t="s">
        <v>138</v>
      </c>
      <c r="D13" s="611">
        <v>63.900000000000006</v>
      </c>
      <c r="E13" s="616">
        <v>268</v>
      </c>
      <c r="F13" s="616">
        <v>22</v>
      </c>
      <c r="G13" s="616">
        <v>6</v>
      </c>
      <c r="H13" s="612">
        <v>0.26913999999999999</v>
      </c>
      <c r="I13" s="617">
        <f>D13*E13*H13</f>
        <v>4609.0763280000001</v>
      </c>
      <c r="J13" s="618">
        <f t="shared" si="1"/>
        <v>4.6090763280000004</v>
      </c>
      <c r="L13" s="619" t="s">
        <v>334</v>
      </c>
      <c r="M13" s="621">
        <f>SUM(M6:M11)</f>
        <v>63.900000000000006</v>
      </c>
    </row>
    <row r="14" spans="1:19">
      <c r="C14" s="569" t="s">
        <v>139</v>
      </c>
      <c r="D14" s="611">
        <v>63.900000000000006</v>
      </c>
      <c r="E14" s="616">
        <v>262</v>
      </c>
      <c r="F14" s="616">
        <v>21</v>
      </c>
      <c r="G14" s="616">
        <v>6</v>
      </c>
      <c r="H14" s="612">
        <v>0.26913999999999999</v>
      </c>
      <c r="I14" s="617">
        <f t="shared" ref="I14:I16" si="2">D14*E14*H14</f>
        <v>4505.8880520000002</v>
      </c>
      <c r="J14" s="618">
        <f t="shared" si="1"/>
        <v>4.5058880520000004</v>
      </c>
    </row>
    <row r="15" spans="1:19">
      <c r="C15" s="569" t="s">
        <v>140</v>
      </c>
      <c r="D15" s="611">
        <v>63.9</v>
      </c>
      <c r="E15" s="616">
        <v>275</v>
      </c>
      <c r="F15" s="616">
        <v>23</v>
      </c>
      <c r="G15" s="616">
        <v>6</v>
      </c>
      <c r="H15" s="612">
        <v>0.26913999999999999</v>
      </c>
      <c r="I15" s="617">
        <f t="shared" si="2"/>
        <v>4729.4626499999995</v>
      </c>
      <c r="J15" s="614">
        <f t="shared" si="1"/>
        <v>4.7294626499999994</v>
      </c>
    </row>
    <row r="16" spans="1:19">
      <c r="C16" s="569" t="s">
        <v>142</v>
      </c>
      <c r="D16" s="611">
        <v>63.900000000000006</v>
      </c>
      <c r="E16" s="616">
        <v>306</v>
      </c>
      <c r="F16" s="616">
        <v>26</v>
      </c>
      <c r="G16" s="616">
        <v>6</v>
      </c>
      <c r="H16" s="612">
        <v>0.26913999999999999</v>
      </c>
      <c r="I16" s="617">
        <f t="shared" si="2"/>
        <v>5262.6020760000001</v>
      </c>
      <c r="J16" s="618">
        <f t="shared" si="1"/>
        <v>5.2626020760000003</v>
      </c>
    </row>
    <row r="17" spans="1:13" ht="15.75" thickBot="1">
      <c r="C17" s="573" t="s">
        <v>144</v>
      </c>
      <c r="D17" s="622">
        <v>63.900000000000006</v>
      </c>
      <c r="E17" s="623">
        <v>240</v>
      </c>
      <c r="F17" s="623">
        <v>21</v>
      </c>
      <c r="G17" s="623">
        <v>6</v>
      </c>
      <c r="H17" s="624">
        <v>0.26913999999999999</v>
      </c>
      <c r="I17" s="625">
        <f>D17*E17*H17</f>
        <v>4127.5310400000008</v>
      </c>
      <c r="J17" s="626">
        <f t="shared" si="1"/>
        <v>4.1275310400000009</v>
      </c>
    </row>
    <row r="19" spans="1:13">
      <c r="C19" s="2073" t="s">
        <v>776</v>
      </c>
      <c r="D19" s="2090"/>
      <c r="E19" s="2090"/>
      <c r="F19" s="2090"/>
      <c r="G19" s="2090"/>
      <c r="H19" s="2075"/>
      <c r="J19" s="2076" t="s">
        <v>138</v>
      </c>
      <c r="K19" s="2077"/>
      <c r="M19" s="627" t="s">
        <v>777</v>
      </c>
    </row>
    <row r="20" spans="1:13" ht="45">
      <c r="A20" s="880" t="s">
        <v>338</v>
      </c>
      <c r="C20" s="1858" t="s">
        <v>121</v>
      </c>
      <c r="D20" s="1855" t="s">
        <v>759</v>
      </c>
      <c r="E20" s="1856" t="s">
        <v>778</v>
      </c>
      <c r="F20" s="1856" t="s">
        <v>763</v>
      </c>
      <c r="G20" s="1857" t="s">
        <v>764</v>
      </c>
      <c r="H20" s="1859" t="s">
        <v>765</v>
      </c>
      <c r="J20" s="628" t="s">
        <v>766</v>
      </c>
      <c r="K20" s="629" t="s">
        <v>767</v>
      </c>
      <c r="M20" s="630" t="s">
        <v>764</v>
      </c>
    </row>
    <row r="21" spans="1:13">
      <c r="A21" s="1008" t="s">
        <v>779</v>
      </c>
      <c r="C21" s="529" t="s">
        <v>127</v>
      </c>
      <c r="D21" s="1860">
        <v>43.599999999999994</v>
      </c>
      <c r="E21" s="1861">
        <v>5</v>
      </c>
      <c r="F21" s="1040">
        <v>0.26913999999999999</v>
      </c>
      <c r="G21" s="1862">
        <f t="shared" ref="G21:G27" si="3">D21*E21*F21</f>
        <v>58.672519999999992</v>
      </c>
      <c r="H21" s="609">
        <f>G21/1000</f>
        <v>5.8672519999999992E-2</v>
      </c>
      <c r="J21" s="610" t="s">
        <v>769</v>
      </c>
      <c r="K21" s="610">
        <v>14.3</v>
      </c>
      <c r="M21" s="631">
        <f>I6+G21</f>
        <v>3542.5283359999999</v>
      </c>
    </row>
    <row r="22" spans="1:13">
      <c r="A22" t="s">
        <v>770</v>
      </c>
      <c r="C22" s="569" t="s">
        <v>128</v>
      </c>
      <c r="D22" s="611">
        <v>43.599999999999994</v>
      </c>
      <c r="E22" s="616">
        <v>4</v>
      </c>
      <c r="F22" s="612">
        <v>0.26913999999999999</v>
      </c>
      <c r="G22" s="617">
        <f t="shared" si="3"/>
        <v>46.93801599999999</v>
      </c>
      <c r="H22" s="614">
        <f t="shared" ref="H22:H32" si="4">G22/1000</f>
        <v>4.6938015999999992E-2</v>
      </c>
      <c r="J22" s="610"/>
      <c r="K22" s="610"/>
      <c r="M22" s="632">
        <f t="shared" ref="M22:M32" si="5">I7+G22</f>
        <v>3240.4725139999996</v>
      </c>
    </row>
    <row r="23" spans="1:13">
      <c r="C23" s="569" t="s">
        <v>129</v>
      </c>
      <c r="D23" s="611">
        <v>43.599999999999994</v>
      </c>
      <c r="E23" s="616">
        <v>12</v>
      </c>
      <c r="F23" s="612">
        <v>0.26913999999999999</v>
      </c>
      <c r="G23" s="617">
        <f t="shared" si="3"/>
        <v>140.81404799999999</v>
      </c>
      <c r="H23" s="614">
        <f t="shared" si="4"/>
        <v>0.140814048</v>
      </c>
      <c r="J23" s="610" t="s">
        <v>780</v>
      </c>
      <c r="K23" s="610">
        <v>12</v>
      </c>
      <c r="M23" s="632">
        <f t="shared" si="5"/>
        <v>3485.8205379999999</v>
      </c>
    </row>
    <row r="24" spans="1:13">
      <c r="C24" s="569" t="s">
        <v>130</v>
      </c>
      <c r="D24" s="611">
        <v>43.599999999999994</v>
      </c>
      <c r="E24" s="616">
        <v>0</v>
      </c>
      <c r="F24" s="612">
        <v>0.26913999999999999</v>
      </c>
      <c r="G24" s="617">
        <f t="shared" si="3"/>
        <v>0</v>
      </c>
      <c r="H24" s="614">
        <f t="shared" si="4"/>
        <v>0</v>
      </c>
      <c r="J24" s="610" t="s">
        <v>781</v>
      </c>
      <c r="K24" s="610">
        <v>6</v>
      </c>
      <c r="M24" s="632">
        <f t="shared" si="5"/>
        <v>3804.5630400000005</v>
      </c>
    </row>
    <row r="25" spans="1:13">
      <c r="C25" s="569" t="s">
        <v>132</v>
      </c>
      <c r="D25" s="611">
        <v>43.599999999999994</v>
      </c>
      <c r="E25" s="616">
        <v>12</v>
      </c>
      <c r="F25" s="612">
        <v>0.26913999999999999</v>
      </c>
      <c r="G25" s="617">
        <f t="shared" si="3"/>
        <v>140.81404799999999</v>
      </c>
      <c r="H25" s="614">
        <f t="shared" si="4"/>
        <v>0.140814048</v>
      </c>
      <c r="J25" s="615" t="s">
        <v>774</v>
      </c>
      <c r="K25" s="615">
        <v>11.3</v>
      </c>
      <c r="M25" s="632">
        <f t="shared" si="5"/>
        <v>4008.7864720000007</v>
      </c>
    </row>
    <row r="26" spans="1:13">
      <c r="C26" s="569" t="s">
        <v>134</v>
      </c>
      <c r="D26" s="611">
        <v>43.599999999999994</v>
      </c>
      <c r="E26" s="616">
        <v>23</v>
      </c>
      <c r="F26" s="612">
        <v>0.26913999999999999</v>
      </c>
      <c r="G26" s="617">
        <f t="shared" si="3"/>
        <v>269.89359199999996</v>
      </c>
      <c r="H26" s="614">
        <f t="shared" si="4"/>
        <v>0.26989359199999996</v>
      </c>
      <c r="J26" s="615"/>
      <c r="K26" s="615"/>
      <c r="M26" s="632">
        <f t="shared" si="5"/>
        <v>4423.2082440000004</v>
      </c>
    </row>
    <row r="27" spans="1:13">
      <c r="C27" s="569" t="s">
        <v>136</v>
      </c>
      <c r="D27" s="611">
        <v>43.599999999999994</v>
      </c>
      <c r="E27" s="616">
        <v>14</v>
      </c>
      <c r="F27" s="612">
        <v>0.26913999999999999</v>
      </c>
      <c r="G27" s="617">
        <f t="shared" si="3"/>
        <v>164.28305599999996</v>
      </c>
      <c r="H27" s="614">
        <f t="shared" si="4"/>
        <v>0.16428305599999996</v>
      </c>
      <c r="J27" s="619" t="s">
        <v>335</v>
      </c>
      <c r="K27" s="620">
        <f>AVERAGE(K21:K26)</f>
        <v>10.899999999999999</v>
      </c>
      <c r="M27" s="632">
        <f t="shared" si="5"/>
        <v>3913.4570839999997</v>
      </c>
    </row>
    <row r="28" spans="1:13">
      <c r="C28" s="569" t="s">
        <v>138</v>
      </c>
      <c r="D28" s="611">
        <v>43.599999999999994</v>
      </c>
      <c r="E28" s="616">
        <v>16</v>
      </c>
      <c r="F28" s="612">
        <v>0.26913999999999999</v>
      </c>
      <c r="G28" s="617">
        <f>D28*E28*F28</f>
        <v>187.75206399999996</v>
      </c>
      <c r="H28" s="614">
        <f t="shared" si="4"/>
        <v>0.18775206399999997</v>
      </c>
      <c r="J28" s="619" t="s">
        <v>334</v>
      </c>
      <c r="K28" s="621">
        <f>SUM(K21:K26)</f>
        <v>43.599999999999994</v>
      </c>
      <c r="M28" s="632">
        <f t="shared" si="5"/>
        <v>4796.8283920000003</v>
      </c>
    </row>
    <row r="29" spans="1:13">
      <c r="C29" s="569" t="s">
        <v>139</v>
      </c>
      <c r="D29" s="611">
        <v>43.599999999999994</v>
      </c>
      <c r="E29" s="616">
        <v>14</v>
      </c>
      <c r="F29" s="612">
        <v>0.26913999999999999</v>
      </c>
      <c r="G29" s="617">
        <f>D29*E29*F29</f>
        <v>164.28305599999996</v>
      </c>
      <c r="H29" s="614">
        <f t="shared" si="4"/>
        <v>0.16428305599999996</v>
      </c>
      <c r="M29" s="632">
        <f t="shared" si="5"/>
        <v>4670.1711080000005</v>
      </c>
    </row>
    <row r="30" spans="1:13">
      <c r="C30" s="569" t="s">
        <v>140</v>
      </c>
      <c r="D30" s="611">
        <v>43.599999999999994</v>
      </c>
      <c r="E30" s="616">
        <v>25</v>
      </c>
      <c r="F30" s="612">
        <v>0.26913999999999999</v>
      </c>
      <c r="G30" s="617">
        <f>D30*E30*F30</f>
        <v>293.36259999999993</v>
      </c>
      <c r="H30" s="633">
        <f t="shared" si="4"/>
        <v>0.29336259999999992</v>
      </c>
      <c r="M30" s="632">
        <f t="shared" si="5"/>
        <v>5022.8252499999999</v>
      </c>
    </row>
    <row r="31" spans="1:13">
      <c r="C31" s="569" t="s">
        <v>142</v>
      </c>
      <c r="D31" s="611">
        <v>43.599999999999994</v>
      </c>
      <c r="E31" s="616">
        <v>10</v>
      </c>
      <c r="F31" s="612">
        <v>0.26913999999999999</v>
      </c>
      <c r="G31" s="617">
        <f>D31*E31*F31</f>
        <v>117.34503999999998</v>
      </c>
      <c r="H31" s="633">
        <f t="shared" si="4"/>
        <v>0.11734503999999998</v>
      </c>
      <c r="M31" s="632">
        <f t="shared" si="5"/>
        <v>5379.9471160000003</v>
      </c>
    </row>
    <row r="32" spans="1:13" ht="15.75" thickBot="1">
      <c r="C32" s="573" t="s">
        <v>144</v>
      </c>
      <c r="D32" s="622">
        <v>43.6</v>
      </c>
      <c r="E32" s="623">
        <v>9</v>
      </c>
      <c r="F32" s="624">
        <v>0.26913999999999999</v>
      </c>
      <c r="G32" s="625">
        <f>D32*E32*F32</f>
        <v>105.61053600000001</v>
      </c>
      <c r="H32" s="626">
        <f t="shared" si="4"/>
        <v>0.105610536</v>
      </c>
      <c r="M32" s="634">
        <f t="shared" si="5"/>
        <v>4233.1415760000009</v>
      </c>
    </row>
    <row r="33" spans="1:13" ht="15.75" thickBot="1"/>
    <row r="34" spans="1:13" ht="15.75" thickBot="1">
      <c r="C34" s="2078" t="s">
        <v>782</v>
      </c>
      <c r="D34" s="2079"/>
      <c r="E34" s="2079"/>
      <c r="F34" s="2079"/>
      <c r="G34" s="2079"/>
      <c r="H34" s="2079"/>
      <c r="I34" s="2080"/>
    </row>
    <row r="35" spans="1:13" ht="60.75" thickBot="1">
      <c r="A35" s="880" t="s">
        <v>338</v>
      </c>
      <c r="C35" s="635" t="s">
        <v>121</v>
      </c>
      <c r="D35" s="636" t="s">
        <v>783</v>
      </c>
      <c r="E35" s="637" t="s">
        <v>784</v>
      </c>
      <c r="F35" s="637" t="s">
        <v>761</v>
      </c>
      <c r="G35" s="637" t="s">
        <v>785</v>
      </c>
      <c r="H35" s="637" t="s">
        <v>786</v>
      </c>
      <c r="I35" s="638" t="s">
        <v>787</v>
      </c>
      <c r="J35" s="639" t="s">
        <v>765</v>
      </c>
      <c r="L35" s="640" t="s">
        <v>788</v>
      </c>
      <c r="M35" s="641" t="s">
        <v>767</v>
      </c>
    </row>
    <row r="36" spans="1:13">
      <c r="A36" s="1009" t="s">
        <v>789</v>
      </c>
      <c r="C36" s="642" t="s">
        <v>127</v>
      </c>
      <c r="D36" s="649">
        <v>25.6</v>
      </c>
      <c r="E36" s="643">
        <v>188</v>
      </c>
      <c r="F36" s="650">
        <v>26</v>
      </c>
      <c r="G36" s="643">
        <v>3</v>
      </c>
      <c r="H36" s="644">
        <v>1.5161000000000001E-2</v>
      </c>
      <c r="I36" s="613">
        <f t="shared" ref="I36:I41" si="6">D36*E36*H36</f>
        <v>72.966860800000006</v>
      </c>
      <c r="J36" s="646">
        <f>I36/1000</f>
        <v>7.2966860800000005E-2</v>
      </c>
      <c r="L36" s="647" t="s">
        <v>769</v>
      </c>
      <c r="M36" s="647">
        <v>14.3</v>
      </c>
    </row>
    <row r="37" spans="1:13">
      <c r="A37" t="s">
        <v>770</v>
      </c>
      <c r="C37" s="648" t="s">
        <v>128</v>
      </c>
      <c r="D37" s="649">
        <v>25.6</v>
      </c>
      <c r="E37" s="650">
        <v>175</v>
      </c>
      <c r="F37" s="650">
        <v>26</v>
      </c>
      <c r="G37" s="650">
        <v>3</v>
      </c>
      <c r="H37" s="652">
        <v>1.5161000000000001E-2</v>
      </c>
      <c r="I37" s="613">
        <f t="shared" si="6"/>
        <v>67.92128000000001</v>
      </c>
      <c r="J37" s="653">
        <f t="shared" ref="J37:J47" si="7">I37/1000</f>
        <v>6.7921280000000014E-2</v>
      </c>
      <c r="L37" s="610" t="s">
        <v>771</v>
      </c>
      <c r="M37" s="610">
        <v>11.3</v>
      </c>
    </row>
    <row r="38" spans="1:13" ht="15.75" thickBot="1">
      <c r="C38" s="648" t="s">
        <v>129</v>
      </c>
      <c r="D38" s="649">
        <v>25.6</v>
      </c>
      <c r="E38" s="650">
        <v>167</v>
      </c>
      <c r="F38" s="650">
        <v>26</v>
      </c>
      <c r="G38" s="650">
        <v>3</v>
      </c>
      <c r="H38" s="652">
        <v>1.5161000000000001E-2</v>
      </c>
      <c r="I38" s="613">
        <f t="shared" si="6"/>
        <v>64.816307199999997</v>
      </c>
      <c r="J38" s="653">
        <f t="shared" si="7"/>
        <v>6.4816307199999992E-2</v>
      </c>
      <c r="L38" s="615"/>
      <c r="M38" s="615"/>
    </row>
    <row r="39" spans="1:13" ht="15.75" thickBot="1">
      <c r="C39" s="648" t="s">
        <v>130</v>
      </c>
      <c r="D39" s="649">
        <v>25.6</v>
      </c>
      <c r="E39" s="650">
        <v>137</v>
      </c>
      <c r="F39" s="650">
        <v>26</v>
      </c>
      <c r="G39" s="650">
        <v>3</v>
      </c>
      <c r="H39" s="652">
        <v>1.5161000000000001E-2</v>
      </c>
      <c r="I39" s="613">
        <f t="shared" si="6"/>
        <v>53.172659200000005</v>
      </c>
      <c r="J39" s="653">
        <f t="shared" si="7"/>
        <v>5.3172659200000007E-2</v>
      </c>
      <c r="L39" s="619" t="s">
        <v>335</v>
      </c>
      <c r="M39" s="620">
        <f>AVERAGE(M36:M38)</f>
        <v>12.8</v>
      </c>
    </row>
    <row r="40" spans="1:13" ht="15.75" thickBot="1">
      <c r="C40" s="648" t="s">
        <v>132</v>
      </c>
      <c r="D40" s="649">
        <v>25.6</v>
      </c>
      <c r="E40" s="650">
        <v>161</v>
      </c>
      <c r="F40" s="650">
        <v>26</v>
      </c>
      <c r="G40" s="650">
        <v>3</v>
      </c>
      <c r="H40" s="652">
        <v>1.5161000000000001E-2</v>
      </c>
      <c r="I40" s="613">
        <f t="shared" si="6"/>
        <v>62.487577600000009</v>
      </c>
      <c r="J40" s="653">
        <f t="shared" si="7"/>
        <v>6.248757760000001E-2</v>
      </c>
      <c r="L40" s="654" t="s">
        <v>334</v>
      </c>
      <c r="M40" s="655">
        <f>SUM(M36:M38)</f>
        <v>25.6</v>
      </c>
    </row>
    <row r="41" spans="1:13">
      <c r="C41" s="648" t="s">
        <v>134</v>
      </c>
      <c r="D41" s="649">
        <v>25.6</v>
      </c>
      <c r="E41" s="650">
        <v>204</v>
      </c>
      <c r="F41" s="650">
        <v>26</v>
      </c>
      <c r="G41" s="650">
        <v>3</v>
      </c>
      <c r="H41" s="652">
        <v>1.5161000000000001E-2</v>
      </c>
      <c r="I41" s="613">
        <f t="shared" si="6"/>
        <v>79.176806400000018</v>
      </c>
      <c r="J41" s="653">
        <f t="shared" si="7"/>
        <v>7.9176806400000022E-2</v>
      </c>
    </row>
    <row r="42" spans="1:13">
      <c r="C42" s="648" t="s">
        <v>136</v>
      </c>
      <c r="D42" s="649">
        <v>25.6</v>
      </c>
      <c r="E42" s="650">
        <v>142</v>
      </c>
      <c r="F42" s="650">
        <v>20</v>
      </c>
      <c r="G42" s="650">
        <v>2</v>
      </c>
      <c r="H42" s="652">
        <v>1.5161000000000001E-2</v>
      </c>
      <c r="I42" s="613">
        <f>D42*E42*H42</f>
        <v>55.11326720000001</v>
      </c>
      <c r="J42" s="653">
        <f t="shared" si="7"/>
        <v>5.511326720000001E-2</v>
      </c>
    </row>
    <row r="43" spans="1:13">
      <c r="C43" s="648" t="s">
        <v>138</v>
      </c>
      <c r="D43" s="649">
        <v>25.6</v>
      </c>
      <c r="E43" s="650">
        <v>175</v>
      </c>
      <c r="F43" s="650">
        <v>25</v>
      </c>
      <c r="G43" s="650">
        <v>2</v>
      </c>
      <c r="H43" s="652">
        <v>1.5161000000000001E-2</v>
      </c>
      <c r="I43" s="657">
        <f>D43*E43*H43</f>
        <v>67.92128000000001</v>
      </c>
      <c r="J43" s="658">
        <f t="shared" si="7"/>
        <v>6.7921280000000014E-2</v>
      </c>
    </row>
    <row r="44" spans="1:13">
      <c r="C44" s="648" t="s">
        <v>139</v>
      </c>
      <c r="D44" s="649">
        <v>25.6</v>
      </c>
      <c r="E44" s="650">
        <v>180</v>
      </c>
      <c r="F44" s="650">
        <v>26</v>
      </c>
      <c r="G44" s="650">
        <v>2</v>
      </c>
      <c r="H44" s="652">
        <v>1.5161000000000001E-2</v>
      </c>
      <c r="I44" s="613">
        <f t="shared" ref="I44:I46" si="8">D44*E44*H44</f>
        <v>69.861888000000008</v>
      </c>
      <c r="J44" s="653">
        <f t="shared" si="7"/>
        <v>6.9861888000000011E-2</v>
      </c>
    </row>
    <row r="45" spans="1:13">
      <c r="C45" s="648" t="s">
        <v>140</v>
      </c>
      <c r="D45" s="649">
        <v>25.6</v>
      </c>
      <c r="E45" s="650">
        <v>197</v>
      </c>
      <c r="F45" s="650">
        <v>27</v>
      </c>
      <c r="G45" s="650">
        <v>2</v>
      </c>
      <c r="H45" s="652">
        <v>1.5161000000000001E-2</v>
      </c>
      <c r="I45" s="613">
        <f t="shared" si="8"/>
        <v>76.45995520000001</v>
      </c>
      <c r="J45" s="653">
        <f t="shared" si="7"/>
        <v>7.6459955200000013E-2</v>
      </c>
    </row>
    <row r="46" spans="1:13">
      <c r="C46" s="648" t="s">
        <v>142</v>
      </c>
      <c r="D46" s="649">
        <v>25.6</v>
      </c>
      <c r="E46" s="650">
        <v>191</v>
      </c>
      <c r="F46" s="650">
        <v>27</v>
      </c>
      <c r="G46" s="650">
        <v>2</v>
      </c>
      <c r="H46" s="652">
        <v>1.5161000000000001E-2</v>
      </c>
      <c r="I46" s="613">
        <f t="shared" si="8"/>
        <v>74.131225600000008</v>
      </c>
      <c r="J46" s="653">
        <f t="shared" si="7"/>
        <v>7.4131225600000003E-2</v>
      </c>
    </row>
    <row r="47" spans="1:13" ht="15.75" thickBot="1">
      <c r="C47" s="659" t="s">
        <v>144</v>
      </c>
      <c r="D47" s="660">
        <v>25.6</v>
      </c>
      <c r="E47" s="661">
        <v>175</v>
      </c>
      <c r="F47" s="661">
        <v>24</v>
      </c>
      <c r="G47" s="661">
        <v>2</v>
      </c>
      <c r="H47" s="662">
        <v>1.5161000000000001E-2</v>
      </c>
      <c r="I47" s="663">
        <f>D47*E47*H47</f>
        <v>67.92128000000001</v>
      </c>
      <c r="J47" s="664">
        <f t="shared" si="7"/>
        <v>6.7921280000000014E-2</v>
      </c>
    </row>
    <row r="48" spans="1:13" ht="15.75" thickBot="1">
      <c r="C48" s="508"/>
      <c r="D48" s="665"/>
      <c r="E48" s="665"/>
      <c r="F48" s="666"/>
      <c r="G48" s="667"/>
      <c r="I48" s="486"/>
    </row>
    <row r="49" spans="1:17" ht="15.75" thickBot="1">
      <c r="C49" s="2050" t="s">
        <v>790</v>
      </c>
      <c r="D49" s="2051"/>
      <c r="E49" s="2051"/>
      <c r="F49" s="2051"/>
      <c r="G49" s="2051"/>
      <c r="H49" s="2051"/>
      <c r="I49" s="2051"/>
      <c r="J49" s="2051"/>
      <c r="K49" s="2051"/>
      <c r="L49" s="2051"/>
      <c r="M49" s="2051"/>
      <c r="N49" s="2051"/>
      <c r="O49" s="2051"/>
      <c r="P49" s="2051"/>
      <c r="Q49" s="2052"/>
    </row>
    <row r="50" spans="1:17" ht="90.75" thickBot="1">
      <c r="A50" s="880" t="s">
        <v>338</v>
      </c>
      <c r="C50" s="668" t="s">
        <v>121</v>
      </c>
      <c r="D50" s="669" t="s">
        <v>791</v>
      </c>
      <c r="E50" s="670" t="s">
        <v>792</v>
      </c>
      <c r="F50" s="670" t="s">
        <v>793</v>
      </c>
      <c r="G50" s="670" t="s">
        <v>794</v>
      </c>
      <c r="H50" s="670" t="s">
        <v>795</v>
      </c>
      <c r="I50" s="671" t="s">
        <v>796</v>
      </c>
      <c r="J50" s="669" t="s">
        <v>797</v>
      </c>
      <c r="K50" s="670" t="s">
        <v>798</v>
      </c>
      <c r="L50" s="670" t="s">
        <v>799</v>
      </c>
      <c r="M50" s="670" t="s">
        <v>800</v>
      </c>
      <c r="N50" s="670" t="s">
        <v>801</v>
      </c>
      <c r="O50" s="671" t="s">
        <v>802</v>
      </c>
      <c r="P50" s="543" t="s">
        <v>803</v>
      </c>
      <c r="Q50" s="641" t="s">
        <v>804</v>
      </c>
    </row>
    <row r="51" spans="1:17">
      <c r="A51" s="883" t="s">
        <v>805</v>
      </c>
      <c r="C51" s="672" t="s">
        <v>127</v>
      </c>
      <c r="D51" s="1768">
        <v>348</v>
      </c>
      <c r="E51" s="1769">
        <v>1366</v>
      </c>
      <c r="F51" s="1769">
        <v>3694</v>
      </c>
      <c r="G51" s="1769">
        <v>4879</v>
      </c>
      <c r="H51" s="1770">
        <f>SUM(D51:G51)</f>
        <v>10287</v>
      </c>
      <c r="I51" s="1193">
        <v>0.140625</v>
      </c>
      <c r="J51" s="677">
        <v>227</v>
      </c>
      <c r="K51" s="678">
        <f>J51+J51</f>
        <v>454</v>
      </c>
      <c r="L51" s="674">
        <v>0</v>
      </c>
      <c r="M51" s="674">
        <v>0</v>
      </c>
      <c r="N51" s="679">
        <f>SUM(J51:M51)</f>
        <v>681</v>
      </c>
      <c r="O51" s="676">
        <v>0.15101999999999999</v>
      </c>
      <c r="P51" s="672">
        <f>(H51*I51)+(N51*O51)</f>
        <v>1549.4539950000001</v>
      </c>
      <c r="Q51" s="680">
        <f>P51/1000</f>
        <v>1.5494539950000001</v>
      </c>
    </row>
    <row r="52" spans="1:17">
      <c r="A52" t="s">
        <v>770</v>
      </c>
      <c r="C52" s="493" t="s">
        <v>128</v>
      </c>
      <c r="D52" s="681">
        <v>3228</v>
      </c>
      <c r="E52" s="682">
        <v>1170</v>
      </c>
      <c r="F52" s="682">
        <v>3694</v>
      </c>
      <c r="G52" s="682">
        <v>0</v>
      </c>
      <c r="H52" s="683">
        <f t="shared" ref="H52:H62" si="9">SUM(D52:G52)</f>
        <v>8092</v>
      </c>
      <c r="I52" s="684">
        <v>0.140625</v>
      </c>
      <c r="J52" s="498">
        <v>454</v>
      </c>
      <c r="K52" s="586">
        <v>0</v>
      </c>
      <c r="L52" s="682">
        <v>0</v>
      </c>
      <c r="M52" s="682">
        <v>0</v>
      </c>
      <c r="N52" s="685">
        <f>SUM(J52:M52)</f>
        <v>454</v>
      </c>
      <c r="O52" s="684">
        <v>0.15101999999999999</v>
      </c>
      <c r="P52" s="672">
        <f t="shared" ref="P52:P62" si="10">(H52*I52)+(N52*O52)</f>
        <v>1206.5005799999999</v>
      </c>
      <c r="Q52" s="686">
        <f>P52/1000</f>
        <v>1.2065005799999999</v>
      </c>
    </row>
    <row r="53" spans="1:17">
      <c r="C53" s="493" t="s">
        <v>129</v>
      </c>
      <c r="D53" s="681">
        <v>1614</v>
      </c>
      <c r="E53" s="682">
        <v>348</v>
      </c>
      <c r="F53" s="682">
        <v>1366</v>
      </c>
      <c r="G53" s="682"/>
      <c r="H53" s="683">
        <f t="shared" si="9"/>
        <v>3328</v>
      </c>
      <c r="I53" s="684">
        <v>0.140625</v>
      </c>
      <c r="J53" s="498">
        <v>227</v>
      </c>
      <c r="K53" s="586">
        <v>0</v>
      </c>
      <c r="L53" s="682">
        <v>0</v>
      </c>
      <c r="M53" s="682">
        <v>0</v>
      </c>
      <c r="N53" s="685">
        <f>SUM(J53:M53)</f>
        <v>227</v>
      </c>
      <c r="O53" s="684">
        <v>0.15101999999999999</v>
      </c>
      <c r="P53" s="672">
        <f t="shared" si="10"/>
        <v>502.28154000000001</v>
      </c>
      <c r="Q53" s="686">
        <f>P53/1000</f>
        <v>0.50228154000000003</v>
      </c>
    </row>
    <row r="54" spans="1:17">
      <c r="C54" s="493" t="s">
        <v>130</v>
      </c>
      <c r="D54" s="681">
        <v>1614</v>
      </c>
      <c r="E54" s="682">
        <v>348</v>
      </c>
      <c r="F54" s="682">
        <v>1366</v>
      </c>
      <c r="G54" s="682"/>
      <c r="H54" s="683">
        <f t="shared" si="9"/>
        <v>3328</v>
      </c>
      <c r="I54" s="684">
        <v>0.140625</v>
      </c>
      <c r="J54" s="498">
        <v>348</v>
      </c>
      <c r="K54" s="586">
        <v>0</v>
      </c>
      <c r="L54" s="682">
        <v>0</v>
      </c>
      <c r="M54" s="682">
        <v>0</v>
      </c>
      <c r="N54" s="685">
        <f t="shared" ref="N54:N62" si="11">SUM(J54:M54)</f>
        <v>348</v>
      </c>
      <c r="O54" s="684">
        <v>0.15101999999999999</v>
      </c>
      <c r="P54" s="672">
        <f t="shared" si="10"/>
        <v>520.55495999999994</v>
      </c>
      <c r="Q54" s="686">
        <f t="shared" ref="Q54:Q62" si="12">P54/1000</f>
        <v>0.5205549599999999</v>
      </c>
    </row>
    <row r="55" spans="1:17">
      <c r="C55" s="493" t="s">
        <v>132</v>
      </c>
      <c r="D55" s="681">
        <v>0</v>
      </c>
      <c r="E55" s="682">
        <v>0</v>
      </c>
      <c r="F55" s="682">
        <v>0</v>
      </c>
      <c r="G55" s="682">
        <v>0</v>
      </c>
      <c r="H55" s="683">
        <f t="shared" si="9"/>
        <v>0</v>
      </c>
      <c r="I55" s="684">
        <v>0.140625</v>
      </c>
      <c r="J55" s="498">
        <v>227</v>
      </c>
      <c r="K55" s="586">
        <v>227</v>
      </c>
      <c r="L55" s="586">
        <v>227</v>
      </c>
      <c r="M55" s="586">
        <v>227</v>
      </c>
      <c r="N55" s="685">
        <f t="shared" si="11"/>
        <v>908</v>
      </c>
      <c r="O55" s="684">
        <v>0.15101999999999999</v>
      </c>
      <c r="P55" s="672">
        <f t="shared" si="10"/>
        <v>137.12616</v>
      </c>
      <c r="Q55" s="686">
        <f t="shared" si="12"/>
        <v>0.13712616</v>
      </c>
    </row>
    <row r="56" spans="1:17">
      <c r="C56" s="493" t="s">
        <v>134</v>
      </c>
      <c r="D56" s="681">
        <v>0</v>
      </c>
      <c r="E56" s="682">
        <v>0</v>
      </c>
      <c r="F56" s="682">
        <v>0</v>
      </c>
      <c r="G56" s="682">
        <v>0</v>
      </c>
      <c r="H56" s="683">
        <f t="shared" si="9"/>
        <v>0</v>
      </c>
      <c r="I56" s="684">
        <v>0.140625</v>
      </c>
      <c r="J56" s="498">
        <v>0</v>
      </c>
      <c r="K56" s="586">
        <v>0</v>
      </c>
      <c r="L56" s="586">
        <v>0</v>
      </c>
      <c r="M56" s="586">
        <v>0</v>
      </c>
      <c r="N56" s="685">
        <f t="shared" si="11"/>
        <v>0</v>
      </c>
      <c r="O56" s="684">
        <v>0.15101999999999999</v>
      </c>
      <c r="P56" s="672">
        <f t="shared" si="10"/>
        <v>0</v>
      </c>
      <c r="Q56" s="686">
        <f t="shared" si="12"/>
        <v>0</v>
      </c>
    </row>
    <row r="57" spans="1:17">
      <c r="C57" s="493" t="s">
        <v>136</v>
      </c>
      <c r="D57" s="681">
        <v>0</v>
      </c>
      <c r="E57" s="682">
        <v>0</v>
      </c>
      <c r="F57" s="682">
        <v>0</v>
      </c>
      <c r="G57" s="682">
        <v>0</v>
      </c>
      <c r="H57" s="683">
        <f t="shared" si="9"/>
        <v>0</v>
      </c>
      <c r="I57" s="684">
        <v>0.140625</v>
      </c>
      <c r="J57" s="498">
        <v>0</v>
      </c>
      <c r="K57" s="687">
        <v>0</v>
      </c>
      <c r="L57" s="688">
        <v>0</v>
      </c>
      <c r="M57" s="688">
        <v>0</v>
      </c>
      <c r="N57" s="685">
        <f t="shared" si="11"/>
        <v>0</v>
      </c>
      <c r="O57" s="684">
        <v>0.15101999999999999</v>
      </c>
      <c r="P57" s="672">
        <f t="shared" si="10"/>
        <v>0</v>
      </c>
      <c r="Q57" s="689">
        <f t="shared" si="12"/>
        <v>0</v>
      </c>
    </row>
    <row r="58" spans="1:17">
      <c r="C58" s="493" t="s">
        <v>138</v>
      </c>
      <c r="D58" s="498">
        <v>0</v>
      </c>
      <c r="E58" s="682">
        <v>0</v>
      </c>
      <c r="F58" s="682">
        <v>0</v>
      </c>
      <c r="G58" s="682">
        <v>0</v>
      </c>
      <c r="H58" s="685">
        <f t="shared" si="9"/>
        <v>0</v>
      </c>
      <c r="I58" s="684">
        <v>0.140625</v>
      </c>
      <c r="J58" s="681">
        <v>0</v>
      </c>
      <c r="K58" s="682">
        <v>0</v>
      </c>
      <c r="L58" s="682">
        <v>0</v>
      </c>
      <c r="M58" s="682">
        <v>0</v>
      </c>
      <c r="N58" s="683">
        <f t="shared" si="11"/>
        <v>0</v>
      </c>
      <c r="O58" s="684">
        <v>0.15101999999999999</v>
      </c>
      <c r="P58" s="672">
        <f t="shared" si="10"/>
        <v>0</v>
      </c>
      <c r="Q58" s="689">
        <f t="shared" si="12"/>
        <v>0</v>
      </c>
    </row>
    <row r="59" spans="1:17">
      <c r="C59" s="493" t="s">
        <v>139</v>
      </c>
      <c r="D59" s="681">
        <v>0</v>
      </c>
      <c r="E59" s="682">
        <v>0</v>
      </c>
      <c r="F59" s="682">
        <v>0</v>
      </c>
      <c r="G59" s="682">
        <v>0</v>
      </c>
      <c r="H59" s="683">
        <f t="shared" si="9"/>
        <v>0</v>
      </c>
      <c r="I59" s="684">
        <v>0.140625</v>
      </c>
      <c r="J59" s="681">
        <v>458</v>
      </c>
      <c r="K59" s="682">
        <v>458</v>
      </c>
      <c r="L59" s="682">
        <v>916</v>
      </c>
      <c r="M59" s="682">
        <v>0</v>
      </c>
      <c r="N59" s="683">
        <f t="shared" si="11"/>
        <v>1832</v>
      </c>
      <c r="O59" s="684">
        <v>0.15101999999999999</v>
      </c>
      <c r="P59" s="672">
        <f t="shared" si="10"/>
        <v>276.66863999999998</v>
      </c>
      <c r="Q59" s="689">
        <f t="shared" si="12"/>
        <v>0.27666863999999997</v>
      </c>
    </row>
    <row r="60" spans="1:17">
      <c r="C60" s="493" t="s">
        <v>140</v>
      </c>
      <c r="D60" s="681">
        <v>7532</v>
      </c>
      <c r="E60" s="682">
        <v>7532</v>
      </c>
      <c r="F60" s="682">
        <v>7532</v>
      </c>
      <c r="G60" s="682"/>
      <c r="H60" s="683">
        <f t="shared" si="9"/>
        <v>22596</v>
      </c>
      <c r="I60" s="684">
        <v>0.140625</v>
      </c>
      <c r="J60" s="681">
        <f>229+229</f>
        <v>458</v>
      </c>
      <c r="K60" s="682">
        <v>229</v>
      </c>
      <c r="L60" s="682">
        <f>229+229</f>
        <v>458</v>
      </c>
      <c r="M60" s="682">
        <f>229+229</f>
        <v>458</v>
      </c>
      <c r="N60" s="683">
        <f t="shared" si="11"/>
        <v>1603</v>
      </c>
      <c r="O60" s="684">
        <v>0.15101999999999999</v>
      </c>
      <c r="P60" s="672">
        <f t="shared" si="10"/>
        <v>3419.6475599999999</v>
      </c>
      <c r="Q60" s="689">
        <f t="shared" si="12"/>
        <v>3.41964756</v>
      </c>
    </row>
    <row r="61" spans="1:17">
      <c r="C61" s="493" t="s">
        <v>142</v>
      </c>
      <c r="D61" s="681">
        <v>3698</v>
      </c>
      <c r="E61" s="682">
        <v>1173</v>
      </c>
      <c r="F61" s="682">
        <v>3698</v>
      </c>
      <c r="G61" s="682">
        <v>1173</v>
      </c>
      <c r="H61" s="683">
        <f t="shared" si="9"/>
        <v>9742</v>
      </c>
      <c r="I61" s="684">
        <v>0.140625</v>
      </c>
      <c r="J61" s="681">
        <v>0</v>
      </c>
      <c r="K61" s="682">
        <v>0</v>
      </c>
      <c r="L61" s="682">
        <v>0</v>
      </c>
      <c r="M61" s="682">
        <v>0</v>
      </c>
      <c r="N61" s="683">
        <f t="shared" si="11"/>
        <v>0</v>
      </c>
      <c r="O61" s="684">
        <v>0.15101999999999999</v>
      </c>
      <c r="P61" s="672">
        <f t="shared" si="10"/>
        <v>1369.96875</v>
      </c>
      <c r="Q61" s="689">
        <f t="shared" si="12"/>
        <v>1.36996875</v>
      </c>
    </row>
    <row r="62" spans="1:17" ht="15.75" thickBot="1">
      <c r="C62" s="503" t="s">
        <v>144</v>
      </c>
      <c r="D62" s="692">
        <v>1173</v>
      </c>
      <c r="E62" s="693">
        <v>1173</v>
      </c>
      <c r="F62" s="693">
        <v>1173</v>
      </c>
      <c r="G62" s="693">
        <v>1173</v>
      </c>
      <c r="H62" s="690">
        <f t="shared" si="9"/>
        <v>4692</v>
      </c>
      <c r="I62" s="691">
        <v>0.140625</v>
      </c>
      <c r="J62" s="692">
        <v>0</v>
      </c>
      <c r="K62" s="693">
        <v>0</v>
      </c>
      <c r="L62" s="693">
        <v>0</v>
      </c>
      <c r="M62" s="693">
        <v>0</v>
      </c>
      <c r="N62" s="690">
        <f t="shared" si="11"/>
        <v>0</v>
      </c>
      <c r="O62" s="691">
        <v>0.15101999999999999</v>
      </c>
      <c r="P62" s="672">
        <f t="shared" si="10"/>
        <v>659.8125</v>
      </c>
      <c r="Q62" s="694">
        <f t="shared" si="12"/>
        <v>0.65981250000000002</v>
      </c>
    </row>
    <row r="63" spans="1:17" ht="15.75" thickBot="1">
      <c r="C63" s="508"/>
      <c r="D63" s="665"/>
      <c r="E63" s="665"/>
      <c r="F63" s="666"/>
      <c r="G63" s="667"/>
      <c r="I63" s="486"/>
    </row>
    <row r="64" spans="1:17" ht="15.75" thickBot="1">
      <c r="C64" s="2081" t="s">
        <v>806</v>
      </c>
      <c r="D64" s="2082"/>
      <c r="E64" s="2082"/>
      <c r="F64" s="2082"/>
      <c r="G64" s="2082"/>
      <c r="H64" s="2082"/>
      <c r="I64" s="2082"/>
      <c r="J64" s="2082"/>
      <c r="K64" s="2083"/>
      <c r="L64" s="2084" t="s">
        <v>807</v>
      </c>
      <c r="M64" s="2085"/>
      <c r="N64" s="2085"/>
      <c r="O64" s="2085"/>
      <c r="P64" s="2086"/>
    </row>
    <row r="65" spans="1:18" ht="105.75" thickBot="1">
      <c r="A65" s="880" t="s">
        <v>338</v>
      </c>
      <c r="C65" s="695" t="s">
        <v>121</v>
      </c>
      <c r="D65" s="696" t="s">
        <v>808</v>
      </c>
      <c r="E65" s="697" t="s">
        <v>809</v>
      </c>
      <c r="F65" s="697" t="s">
        <v>810</v>
      </c>
      <c r="G65" s="697" t="s">
        <v>811</v>
      </c>
      <c r="H65" s="697" t="s">
        <v>812</v>
      </c>
      <c r="I65" s="697" t="s">
        <v>813</v>
      </c>
      <c r="J65" s="698" t="s">
        <v>814</v>
      </c>
      <c r="K65" s="699" t="s">
        <v>815</v>
      </c>
      <c r="L65" s="700" t="s">
        <v>808</v>
      </c>
      <c r="M65" s="701" t="s">
        <v>809</v>
      </c>
      <c r="N65" s="701" t="s">
        <v>816</v>
      </c>
      <c r="O65" s="702" t="s">
        <v>814</v>
      </c>
      <c r="P65" s="703" t="s">
        <v>815</v>
      </c>
      <c r="Q65" s="704" t="s">
        <v>817</v>
      </c>
      <c r="R65" s="705" t="s">
        <v>818</v>
      </c>
    </row>
    <row r="66" spans="1:18">
      <c r="A66" s="883" t="s">
        <v>819</v>
      </c>
      <c r="C66" s="529" t="s">
        <v>127</v>
      </c>
      <c r="D66" s="706">
        <f>'Import Data'!C6</f>
        <v>45.5</v>
      </c>
      <c r="E66" s="651">
        <v>5.4</v>
      </c>
      <c r="F66" s="651">
        <v>0.24116000000000001</v>
      </c>
      <c r="G66" s="651">
        <v>3716</v>
      </c>
      <c r="H66" s="651">
        <f>G66*1.852</f>
        <v>6882.0320000000002</v>
      </c>
      <c r="I66" s="651">
        <v>1.323E-2</v>
      </c>
      <c r="J66" s="707">
        <f>D66*((E66*F66)+(H66*I66))</f>
        <v>4201.99540488</v>
      </c>
      <c r="K66" s="493">
        <f>J66/1000</f>
        <v>4.2019954048799999</v>
      </c>
      <c r="L66" s="706">
        <f>'Import Data'!F6</f>
        <v>169.5</v>
      </c>
      <c r="M66" s="651">
        <v>5.4</v>
      </c>
      <c r="N66" s="651">
        <v>0.24116000000000001</v>
      </c>
      <c r="O66" s="684">
        <f>L66*M66*N66</f>
        <v>220.73374800000002</v>
      </c>
      <c r="P66" s="523">
        <f>O66/1000</f>
        <v>0.22073374800000001</v>
      </c>
      <c r="Q66" s="708">
        <f>P66+K66</f>
        <v>4.4227291528799997</v>
      </c>
      <c r="R66" s="709">
        <f>O66+J66</f>
        <v>4422.7291528799997</v>
      </c>
    </row>
    <row r="67" spans="1:18">
      <c r="A67" t="s">
        <v>820</v>
      </c>
      <c r="C67" s="569" t="s">
        <v>128</v>
      </c>
      <c r="D67" s="706">
        <f>'Import Data'!C7</f>
        <v>73</v>
      </c>
      <c r="E67" s="651">
        <v>5.4</v>
      </c>
      <c r="F67" s="651">
        <v>0.24116000000000001</v>
      </c>
      <c r="G67" s="651">
        <v>3716</v>
      </c>
      <c r="H67" s="651">
        <f>G67*1.852</f>
        <v>6882.0320000000002</v>
      </c>
      <c r="I67" s="651">
        <v>1.323E-2</v>
      </c>
      <c r="J67" s="707">
        <f>D67*((E67*F67)+(H67*I67))</f>
        <v>6741.6629572800002</v>
      </c>
      <c r="K67" s="493">
        <f>J67/1000</f>
        <v>6.74166295728</v>
      </c>
      <c r="L67" s="706">
        <f>'Import Data'!F7</f>
        <v>182</v>
      </c>
      <c r="M67" s="651">
        <v>5.4</v>
      </c>
      <c r="N67" s="651">
        <v>0.24116000000000001</v>
      </c>
      <c r="O67" s="684">
        <f>L67*M67*N67</f>
        <v>237.01204800000002</v>
      </c>
      <c r="P67" s="523">
        <f>O67/1000</f>
        <v>0.23701204800000003</v>
      </c>
      <c r="Q67" s="710">
        <f t="shared" ref="Q67:Q77" si="13">P67+K67</f>
        <v>6.9786750052800004</v>
      </c>
      <c r="R67" s="711">
        <f t="shared" ref="R67:R77" si="14">O67+J67</f>
        <v>6978.6750052799998</v>
      </c>
    </row>
    <row r="68" spans="1:18">
      <c r="C68" s="569" t="s">
        <v>129</v>
      </c>
      <c r="D68" s="706">
        <f>'Import Data'!C8</f>
        <v>152</v>
      </c>
      <c r="E68" s="651">
        <v>5.4</v>
      </c>
      <c r="F68" s="651">
        <v>0.24116000000000001</v>
      </c>
      <c r="G68" s="651">
        <v>3716</v>
      </c>
      <c r="H68" s="651">
        <f>G68*1.852</f>
        <v>6882.0320000000002</v>
      </c>
      <c r="I68" s="651">
        <v>1.323E-2</v>
      </c>
      <c r="J68" s="707">
        <f>D68*((E68*F68)+(H68*I67))</f>
        <v>14037.435198719999</v>
      </c>
      <c r="K68" s="493">
        <f>J68/1000</f>
        <v>14.037435198719999</v>
      </c>
      <c r="L68" s="706">
        <f>'Import Data'!F8</f>
        <v>140</v>
      </c>
      <c r="M68" s="651">
        <v>5.4</v>
      </c>
      <c r="N68" s="651">
        <v>0.24116000000000001</v>
      </c>
      <c r="O68" s="684">
        <f>L68*M68*N68</f>
        <v>182.31696000000002</v>
      </c>
      <c r="P68" s="523">
        <f>O68/1000</f>
        <v>0.18231696000000003</v>
      </c>
      <c r="Q68" s="710">
        <f t="shared" si="13"/>
        <v>14.219752158719999</v>
      </c>
      <c r="R68" s="711">
        <f t="shared" si="14"/>
        <v>14219.752158719999</v>
      </c>
    </row>
    <row r="69" spans="1:18">
      <c r="C69" s="569" t="s">
        <v>130</v>
      </c>
      <c r="D69" s="706">
        <f>'Import Data'!C9</f>
        <v>90</v>
      </c>
      <c r="E69" s="651">
        <v>5.4</v>
      </c>
      <c r="F69" s="651">
        <v>0.24116000000000001</v>
      </c>
      <c r="G69" s="651">
        <v>3716</v>
      </c>
      <c r="H69" s="651">
        <f t="shared" ref="H69:H77" si="15">G69*1.852</f>
        <v>6882.0320000000002</v>
      </c>
      <c r="I69" s="651">
        <v>1.323E-2</v>
      </c>
      <c r="J69" s="707">
        <f t="shared" ref="J69:J77" si="16">D69*((E69*F69)+(H69*I68))</f>
        <v>8311.6392624</v>
      </c>
      <c r="K69" s="493">
        <f t="shared" ref="K69:K77" si="17">J69/1000</f>
        <v>8.3116392624</v>
      </c>
      <c r="L69" s="706">
        <f>'Import Data'!F9</f>
        <v>177</v>
      </c>
      <c r="M69" s="651">
        <v>5.4</v>
      </c>
      <c r="N69" s="651">
        <v>0.24116000000000001</v>
      </c>
      <c r="O69" s="684">
        <f t="shared" ref="O69:O77" si="18">L69*M69*N69</f>
        <v>230.50072800000004</v>
      </c>
      <c r="P69" s="523">
        <f t="shared" ref="P69:P77" si="19">O69/1000</f>
        <v>0.23050072800000004</v>
      </c>
      <c r="Q69" s="710">
        <f t="shared" si="13"/>
        <v>8.5421399904000008</v>
      </c>
      <c r="R69" s="711">
        <f t="shared" si="14"/>
        <v>8542.1399904000009</v>
      </c>
    </row>
    <row r="70" spans="1:18">
      <c r="C70" s="569" t="s">
        <v>132</v>
      </c>
      <c r="D70" s="706">
        <f>'Import Data'!C10</f>
        <v>142</v>
      </c>
      <c r="E70" s="651">
        <v>5.4</v>
      </c>
      <c r="F70" s="651">
        <v>0.24116000000000001</v>
      </c>
      <c r="G70" s="651">
        <v>3716</v>
      </c>
      <c r="H70" s="651">
        <f t="shared" si="15"/>
        <v>6882.0320000000002</v>
      </c>
      <c r="I70" s="651">
        <v>1.323E-2</v>
      </c>
      <c r="J70" s="707">
        <f t="shared" si="16"/>
        <v>13113.91972512</v>
      </c>
      <c r="K70" s="493">
        <f t="shared" si="17"/>
        <v>13.113919725120001</v>
      </c>
      <c r="L70" s="706">
        <f>'Import Data'!F10</f>
        <v>293.5</v>
      </c>
      <c r="M70" s="651">
        <v>5.4</v>
      </c>
      <c r="N70" s="651">
        <v>0.24116000000000001</v>
      </c>
      <c r="O70" s="684">
        <f>L70*M70*N70</f>
        <v>382.21448400000003</v>
      </c>
      <c r="P70" s="523">
        <f t="shared" si="19"/>
        <v>0.38221448400000002</v>
      </c>
      <c r="Q70" s="710">
        <f t="shared" si="13"/>
        <v>13.496134209120001</v>
      </c>
      <c r="R70" s="711">
        <f t="shared" si="14"/>
        <v>13496.13420912</v>
      </c>
    </row>
    <row r="71" spans="1:18">
      <c r="C71" s="569" t="s">
        <v>134</v>
      </c>
      <c r="D71" s="706">
        <f>'Import Data'!C11</f>
        <v>102</v>
      </c>
      <c r="E71" s="651">
        <v>5.4</v>
      </c>
      <c r="F71" s="651">
        <v>0.24116000000000001</v>
      </c>
      <c r="G71" s="651">
        <v>3716</v>
      </c>
      <c r="H71" s="651">
        <f t="shared" si="15"/>
        <v>6882.0320000000002</v>
      </c>
      <c r="I71" s="651">
        <v>1.323E-2</v>
      </c>
      <c r="J71" s="707">
        <f t="shared" si="16"/>
        <v>9419.8578307200005</v>
      </c>
      <c r="K71" s="493">
        <f t="shared" si="17"/>
        <v>9.4198578307199998</v>
      </c>
      <c r="L71" s="706">
        <f>'Import Data'!F11</f>
        <v>196</v>
      </c>
      <c r="M71" s="651">
        <v>5.4</v>
      </c>
      <c r="N71" s="651">
        <v>0.24116000000000001</v>
      </c>
      <c r="O71" s="684">
        <f>L71*M71*N71</f>
        <v>255.24374400000005</v>
      </c>
      <c r="P71" s="523">
        <f t="shared" si="19"/>
        <v>0.25524374400000005</v>
      </c>
      <c r="Q71" s="710">
        <f t="shared" si="13"/>
        <v>9.6751015747199993</v>
      </c>
      <c r="R71" s="711">
        <f t="shared" si="14"/>
        <v>9675.1015747199999</v>
      </c>
    </row>
    <row r="72" spans="1:18">
      <c r="C72" s="569" t="s">
        <v>136</v>
      </c>
      <c r="D72" s="706">
        <f>'Import Data'!C12</f>
        <v>88</v>
      </c>
      <c r="E72" s="651">
        <v>5.4</v>
      </c>
      <c r="F72" s="651">
        <v>0.24116000000000001</v>
      </c>
      <c r="G72" s="651">
        <v>3716</v>
      </c>
      <c r="H72" s="651">
        <f t="shared" si="15"/>
        <v>6882.0320000000002</v>
      </c>
      <c r="I72" s="651">
        <v>1.323E-2</v>
      </c>
      <c r="J72" s="707">
        <f t="shared" si="16"/>
        <v>8126.9361676799999</v>
      </c>
      <c r="K72" s="493">
        <f t="shared" si="17"/>
        <v>8.1269361676800003</v>
      </c>
      <c r="L72" s="706">
        <f>'Import Data'!F12</f>
        <v>263</v>
      </c>
      <c r="M72" s="651">
        <v>5.4</v>
      </c>
      <c r="N72" s="651">
        <v>0.24116000000000001</v>
      </c>
      <c r="O72" s="684">
        <f t="shared" si="18"/>
        <v>342.49543200000005</v>
      </c>
      <c r="P72" s="523">
        <f t="shared" si="19"/>
        <v>0.34249543200000004</v>
      </c>
      <c r="Q72" s="710">
        <f t="shared" si="13"/>
        <v>8.46943159968</v>
      </c>
      <c r="R72" s="711">
        <f t="shared" si="14"/>
        <v>8469.4315996799996</v>
      </c>
    </row>
    <row r="73" spans="1:18">
      <c r="C73" s="569" t="s">
        <v>138</v>
      </c>
      <c r="D73" s="706">
        <f>'Import Data'!C13</f>
        <v>213</v>
      </c>
      <c r="E73" s="651">
        <v>5.4</v>
      </c>
      <c r="F73" s="651">
        <v>0.24116000000000001</v>
      </c>
      <c r="G73" s="651">
        <v>3716</v>
      </c>
      <c r="H73" s="651">
        <f t="shared" si="15"/>
        <v>6882.0320000000002</v>
      </c>
      <c r="I73" s="651">
        <v>1.323E-2</v>
      </c>
      <c r="J73" s="707">
        <f t="shared" si="16"/>
        <v>19670.87958768</v>
      </c>
      <c r="K73" s="493">
        <f t="shared" si="17"/>
        <v>19.670879587679998</v>
      </c>
      <c r="L73" s="706">
        <f>'Import Data'!F13</f>
        <v>488</v>
      </c>
      <c r="M73" s="651">
        <v>5.4</v>
      </c>
      <c r="N73" s="651">
        <v>0.24116000000000001</v>
      </c>
      <c r="O73" s="684">
        <f t="shared" si="18"/>
        <v>635.50483200000008</v>
      </c>
      <c r="P73" s="523">
        <f t="shared" si="19"/>
        <v>0.63550483200000007</v>
      </c>
      <c r="Q73" s="710">
        <f t="shared" si="13"/>
        <v>20.306384419679997</v>
      </c>
      <c r="R73" s="711">
        <f t="shared" si="14"/>
        <v>20306.384419679998</v>
      </c>
    </row>
    <row r="74" spans="1:18">
      <c r="C74" s="569" t="s">
        <v>139</v>
      </c>
      <c r="D74" s="706">
        <f>'Import Data'!C14</f>
        <v>64</v>
      </c>
      <c r="E74" s="651">
        <v>5.4</v>
      </c>
      <c r="F74" s="651">
        <v>0.24116000000000001</v>
      </c>
      <c r="G74" s="651">
        <v>3716</v>
      </c>
      <c r="H74" s="651">
        <f t="shared" si="15"/>
        <v>6882.0320000000002</v>
      </c>
      <c r="I74" s="651">
        <v>1.323E-2</v>
      </c>
      <c r="J74" s="707">
        <f t="shared" si="16"/>
        <v>5910.4990310399999</v>
      </c>
      <c r="K74" s="493">
        <f t="shared" si="17"/>
        <v>5.9104990310399996</v>
      </c>
      <c r="L74" s="706">
        <f>'Import Data'!F14</f>
        <v>148</v>
      </c>
      <c r="M74" s="651">
        <v>5.4</v>
      </c>
      <c r="N74" s="651">
        <v>0.24116000000000001</v>
      </c>
      <c r="O74" s="684">
        <f t="shared" si="18"/>
        <v>192.73507200000003</v>
      </c>
      <c r="P74" s="523">
        <f t="shared" si="19"/>
        <v>0.19273507200000004</v>
      </c>
      <c r="Q74" s="710">
        <f t="shared" si="13"/>
        <v>6.1032341030399992</v>
      </c>
      <c r="R74" s="711">
        <f t="shared" si="14"/>
        <v>6103.2341030400003</v>
      </c>
    </row>
    <row r="75" spans="1:18">
      <c r="C75" s="569" t="s">
        <v>140</v>
      </c>
      <c r="D75" s="706">
        <f>'Import Data'!C15</f>
        <v>38</v>
      </c>
      <c r="E75" s="651">
        <v>5.4</v>
      </c>
      <c r="F75" s="651">
        <v>0.24116000000000001</v>
      </c>
      <c r="G75" s="651">
        <v>3716</v>
      </c>
      <c r="H75" s="651">
        <f t="shared" si="15"/>
        <v>6882.0320000000002</v>
      </c>
      <c r="I75" s="651">
        <v>1.323E-2</v>
      </c>
      <c r="J75" s="707">
        <f t="shared" si="16"/>
        <v>3509.3587996799997</v>
      </c>
      <c r="K75" s="493">
        <f t="shared" si="17"/>
        <v>3.5093587996799998</v>
      </c>
      <c r="L75" s="706">
        <f>'Import Data'!F15</f>
        <v>95</v>
      </c>
      <c r="M75" s="651">
        <v>5.4</v>
      </c>
      <c r="N75" s="651">
        <v>0.24116000000000001</v>
      </c>
      <c r="O75" s="684">
        <f t="shared" si="18"/>
        <v>123.71508</v>
      </c>
      <c r="P75" s="523">
        <f t="shared" si="19"/>
        <v>0.12371508000000001</v>
      </c>
      <c r="Q75" s="710">
        <f t="shared" si="13"/>
        <v>3.63307387968</v>
      </c>
      <c r="R75" s="711">
        <f t="shared" si="14"/>
        <v>3633.0738796799997</v>
      </c>
    </row>
    <row r="76" spans="1:18">
      <c r="C76" s="569" t="s">
        <v>142</v>
      </c>
      <c r="D76" s="706">
        <f>'Import Data'!C16</f>
        <v>46</v>
      </c>
      <c r="E76" s="651">
        <v>5.4</v>
      </c>
      <c r="F76" s="651">
        <v>0.24116000000000001</v>
      </c>
      <c r="G76" s="651">
        <v>3716</v>
      </c>
      <c r="H76" s="651">
        <f t="shared" si="15"/>
        <v>6882.0320000000002</v>
      </c>
      <c r="I76" s="651">
        <v>1.323E-2</v>
      </c>
      <c r="J76" s="707">
        <f t="shared" si="16"/>
        <v>4248.17117856</v>
      </c>
      <c r="K76" s="493">
        <f t="shared" si="17"/>
        <v>4.2481711785599998</v>
      </c>
      <c r="L76" s="706">
        <f>'Import Data'!F16</f>
        <v>176</v>
      </c>
      <c r="M76" s="651">
        <v>5.4</v>
      </c>
      <c r="N76" s="651">
        <v>0.24116000000000001</v>
      </c>
      <c r="O76" s="684">
        <f t="shared" si="18"/>
        <v>229.19846400000003</v>
      </c>
      <c r="P76" s="523">
        <f t="shared" si="19"/>
        <v>0.22919846400000002</v>
      </c>
      <c r="Q76" s="710">
        <f t="shared" si="13"/>
        <v>4.4773696425600003</v>
      </c>
      <c r="R76" s="711">
        <f t="shared" si="14"/>
        <v>4477.3696425600001</v>
      </c>
    </row>
    <row r="77" spans="1:18" ht="15.75" thickBot="1">
      <c r="C77" s="573" t="s">
        <v>144</v>
      </c>
      <c r="D77" s="712">
        <f>'Import Data'!C17</f>
        <v>129.9</v>
      </c>
      <c r="E77" s="713">
        <v>5.4</v>
      </c>
      <c r="F77" s="713">
        <v>0.24116000000000001</v>
      </c>
      <c r="G77" s="713">
        <v>3716</v>
      </c>
      <c r="H77" s="713">
        <f t="shared" si="15"/>
        <v>6882.0320000000002</v>
      </c>
      <c r="I77" s="713">
        <v>1.323E-2</v>
      </c>
      <c r="J77" s="714">
        <f t="shared" si="16"/>
        <v>11996.466002064</v>
      </c>
      <c r="K77" s="503">
        <f t="shared" si="17"/>
        <v>11.996466002064</v>
      </c>
      <c r="L77" s="712">
        <f>'Import Data'!F17</f>
        <v>243</v>
      </c>
      <c r="M77" s="713">
        <v>5.4</v>
      </c>
      <c r="N77" s="713">
        <v>0.24116000000000001</v>
      </c>
      <c r="O77" s="691">
        <f t="shared" si="18"/>
        <v>316.450152</v>
      </c>
      <c r="P77" s="531">
        <f t="shared" si="19"/>
        <v>0.31645015199999998</v>
      </c>
      <c r="Q77" s="715">
        <f t="shared" si="13"/>
        <v>12.312916154064</v>
      </c>
      <c r="R77" s="716">
        <f t="shared" si="14"/>
        <v>12312.916154064</v>
      </c>
    </row>
    <row r="78" spans="1:18" ht="15.75" thickBot="1"/>
    <row r="79" spans="1:18" ht="15.75" thickBot="1">
      <c r="C79" s="2064" t="s">
        <v>821</v>
      </c>
      <c r="D79" s="2065"/>
      <c r="E79" s="2065"/>
      <c r="F79" s="2065"/>
      <c r="G79" s="2065"/>
      <c r="H79" s="2065"/>
      <c r="I79" s="2065"/>
      <c r="J79" s="2065"/>
      <c r="K79" s="2066"/>
      <c r="L79" s="2067" t="s">
        <v>822</v>
      </c>
      <c r="M79" s="2068"/>
      <c r="N79" s="2068"/>
      <c r="O79" s="2068"/>
      <c r="P79" s="2069"/>
    </row>
    <row r="80" spans="1:18" ht="105.75" thickBot="1">
      <c r="A80" s="880" t="s">
        <v>338</v>
      </c>
      <c r="C80" s="717" t="s">
        <v>121</v>
      </c>
      <c r="D80" s="718" t="s">
        <v>808</v>
      </c>
      <c r="E80" s="719" t="s">
        <v>809</v>
      </c>
      <c r="F80" s="719" t="s">
        <v>823</v>
      </c>
      <c r="G80" s="719" t="s">
        <v>811</v>
      </c>
      <c r="H80" s="719" t="s">
        <v>812</v>
      </c>
      <c r="I80" s="719" t="s">
        <v>824</v>
      </c>
      <c r="J80" s="720" t="s">
        <v>814</v>
      </c>
      <c r="K80" s="721" t="s">
        <v>815</v>
      </c>
      <c r="L80" s="722" t="s">
        <v>808</v>
      </c>
      <c r="M80" s="723" t="s">
        <v>809</v>
      </c>
      <c r="N80" s="723" t="s">
        <v>816</v>
      </c>
      <c r="O80" s="724" t="s">
        <v>814</v>
      </c>
      <c r="P80" s="725" t="s">
        <v>815</v>
      </c>
      <c r="Q80" s="568" t="s">
        <v>817</v>
      </c>
      <c r="R80" s="568" t="s">
        <v>825</v>
      </c>
    </row>
    <row r="81" spans="1:18">
      <c r="A81" s="883" t="s">
        <v>826</v>
      </c>
      <c r="C81" s="529" t="s">
        <v>127</v>
      </c>
      <c r="D81" s="706">
        <f>'Export Data'!R17</f>
        <v>13.590301999999999</v>
      </c>
      <c r="E81" s="651">
        <v>5.4</v>
      </c>
      <c r="F81" s="651">
        <v>0.24116000000000001</v>
      </c>
      <c r="G81" s="726">
        <v>13496</v>
      </c>
      <c r="H81" s="651">
        <f>G81*1.852</f>
        <v>24994.592000000001</v>
      </c>
      <c r="I81" s="651">
        <v>1.323E-2</v>
      </c>
      <c r="J81" s="684">
        <f>D81*((E81*F81)+(H81*I81))</f>
        <v>4511.7181907906797</v>
      </c>
      <c r="K81" s="627">
        <f>J81/1000</f>
        <v>4.5117181907906794</v>
      </c>
      <c r="L81" s="727">
        <f>'Export Data'!R20</f>
        <v>138.95872199999997</v>
      </c>
      <c r="M81" s="651">
        <v>5.4</v>
      </c>
      <c r="N81" s="651">
        <v>0.24116000000000001</v>
      </c>
      <c r="O81" s="684">
        <f>L81*M81*N81</f>
        <v>180.96094114660798</v>
      </c>
      <c r="P81" s="493">
        <f>O81/1000</f>
        <v>0.18096094114660799</v>
      </c>
      <c r="Q81" s="728">
        <f>P81+K81</f>
        <v>4.6926791319372878</v>
      </c>
      <c r="R81" s="729">
        <f>O81+J81</f>
        <v>4692.6791319372878</v>
      </c>
    </row>
    <row r="82" spans="1:18">
      <c r="A82" t="s">
        <v>827</v>
      </c>
      <c r="C82" s="569" t="s">
        <v>128</v>
      </c>
      <c r="D82" s="706">
        <f>'Export Data'!S17</f>
        <v>8.8781149999999993</v>
      </c>
      <c r="E82" s="651">
        <v>5.4</v>
      </c>
      <c r="F82" s="651">
        <v>0.24116000000000001</v>
      </c>
      <c r="G82" s="730">
        <v>13496</v>
      </c>
      <c r="H82" s="651">
        <f>G82*1.852</f>
        <v>24994.592000000001</v>
      </c>
      <c r="I82" s="651">
        <v>1.323E-2</v>
      </c>
      <c r="J82" s="684">
        <f>D82*((E82*F82)+(H82*I82))</f>
        <v>2947.3629758508382</v>
      </c>
      <c r="K82" s="493">
        <f>J82/1000</f>
        <v>2.9473629758508384</v>
      </c>
      <c r="L82" s="731">
        <f>'Export Data'!S20</f>
        <v>196.01120699999998</v>
      </c>
      <c r="M82" s="651">
        <v>5.4</v>
      </c>
      <c r="N82" s="651">
        <v>0.24116000000000001</v>
      </c>
      <c r="O82" s="684">
        <f>L82*M82*N82</f>
        <v>255.25833847264801</v>
      </c>
      <c r="P82" s="493">
        <f>O82/1000</f>
        <v>0.25525833847264801</v>
      </c>
      <c r="Q82" s="732">
        <f t="shared" ref="Q82:Q92" si="20">P82+K82</f>
        <v>3.2026213143234865</v>
      </c>
      <c r="R82" s="733">
        <f t="shared" ref="R82:R92" si="21">O82+J82</f>
        <v>3202.6213143234863</v>
      </c>
    </row>
    <row r="83" spans="1:18">
      <c r="C83" s="569" t="s">
        <v>129</v>
      </c>
      <c r="D83" s="734">
        <f>'Export Data'!T17</f>
        <v>0.30422100000000002</v>
      </c>
      <c r="E83" s="651">
        <v>5.4</v>
      </c>
      <c r="F83" s="651">
        <v>0.24116000000000001</v>
      </c>
      <c r="G83" s="730">
        <v>13496</v>
      </c>
      <c r="H83" s="651">
        <f>G83*1.852</f>
        <v>24994.592000000001</v>
      </c>
      <c r="I83" s="651">
        <v>1.323E-2</v>
      </c>
      <c r="J83" s="684">
        <f t="shared" ref="J83:J92" si="22">D83*((E83*F83)+(H83*I83))</f>
        <v>100.99550545091137</v>
      </c>
      <c r="K83" s="493">
        <f>J83/1000</f>
        <v>0.10099550545091136</v>
      </c>
      <c r="L83" s="727">
        <f>'Export Data'!T20</f>
        <v>235.11179799999996</v>
      </c>
      <c r="M83" s="651">
        <v>5.4</v>
      </c>
      <c r="N83" s="651">
        <v>0.24116000000000001</v>
      </c>
      <c r="O83" s="684">
        <f>L83*M83*N83</f>
        <v>306.17763051067197</v>
      </c>
      <c r="P83" s="493">
        <f>O83/1000</f>
        <v>0.30617763051067198</v>
      </c>
      <c r="Q83" s="732">
        <f t="shared" si="20"/>
        <v>0.40717313596158333</v>
      </c>
      <c r="R83" s="733">
        <f t="shared" si="21"/>
        <v>407.17313596158334</v>
      </c>
    </row>
    <row r="84" spans="1:18">
      <c r="C84" s="569" t="s">
        <v>130</v>
      </c>
      <c r="D84" s="706">
        <f>'Export Data'!U17</f>
        <v>19.530695999999999</v>
      </c>
      <c r="E84" s="651">
        <v>5.4</v>
      </c>
      <c r="F84" s="651">
        <v>0.24116000000000001</v>
      </c>
      <c r="G84" s="730">
        <v>13496</v>
      </c>
      <c r="H84" s="651">
        <f t="shared" ref="H84:H92" si="23">G84*1.852</f>
        <v>24994.592000000001</v>
      </c>
      <c r="I84" s="651">
        <v>1.323E-2</v>
      </c>
      <c r="J84" s="684">
        <f t="shared" si="22"/>
        <v>6483.8144451832468</v>
      </c>
      <c r="K84" s="493">
        <f t="shared" ref="K84:K92" si="24">J84/1000</f>
        <v>6.4838144451832465</v>
      </c>
      <c r="L84" s="727">
        <f>'Export Data'!U20</f>
        <v>146.078216</v>
      </c>
      <c r="M84" s="651">
        <v>5.4</v>
      </c>
      <c r="N84" s="651">
        <v>0.24116000000000001</v>
      </c>
      <c r="O84" s="684">
        <f t="shared" ref="O84:O92" si="25">L84*M84*N84</f>
        <v>190.23240188102403</v>
      </c>
      <c r="P84" s="493">
        <f t="shared" ref="P84:P92" si="26">O84/1000</f>
        <v>0.19023240188102403</v>
      </c>
      <c r="Q84" s="732">
        <f t="shared" si="20"/>
        <v>6.6740468470642709</v>
      </c>
      <c r="R84" s="735">
        <f t="shared" si="21"/>
        <v>6674.0468470642709</v>
      </c>
    </row>
    <row r="85" spans="1:18">
      <c r="C85" s="569" t="s">
        <v>132</v>
      </c>
      <c r="D85" s="706">
        <f>'Export Data'!V17</f>
        <v>11.982346000000001</v>
      </c>
      <c r="E85" s="651">
        <v>5.4</v>
      </c>
      <c r="F85" s="651">
        <v>0.24116000000000001</v>
      </c>
      <c r="G85" s="730">
        <v>13496</v>
      </c>
      <c r="H85" s="651">
        <f t="shared" si="23"/>
        <v>24994.592000000001</v>
      </c>
      <c r="I85" s="651">
        <v>1.323E-2</v>
      </c>
      <c r="J85" s="684">
        <f t="shared" si="22"/>
        <v>3977.9078063569118</v>
      </c>
      <c r="K85" s="493">
        <f t="shared" si="24"/>
        <v>3.977907806356912</v>
      </c>
      <c r="L85" s="727">
        <f>'Export Data'!V20</f>
        <v>257.95896799999997</v>
      </c>
      <c r="M85" s="651">
        <v>5.4</v>
      </c>
      <c r="N85" s="651">
        <v>0.24116000000000001</v>
      </c>
      <c r="O85" s="684">
        <f t="shared" si="25"/>
        <v>335.93067750355198</v>
      </c>
      <c r="P85" s="493">
        <f t="shared" si="26"/>
        <v>0.33593067750355199</v>
      </c>
      <c r="Q85" s="732">
        <f t="shared" si="20"/>
        <v>4.3138384838604642</v>
      </c>
      <c r="R85" s="735">
        <f t="shared" si="21"/>
        <v>4313.8384838604634</v>
      </c>
    </row>
    <row r="86" spans="1:18">
      <c r="C86" s="569" t="s">
        <v>134</v>
      </c>
      <c r="D86" s="706">
        <f>'Export Data'!W17</f>
        <v>13.420656000000001</v>
      </c>
      <c r="E86" s="651">
        <v>5.4</v>
      </c>
      <c r="F86" s="651">
        <v>0.24116000000000001</v>
      </c>
      <c r="G86" s="730">
        <v>13496</v>
      </c>
      <c r="H86" s="651">
        <f t="shared" si="23"/>
        <v>24994.592000000001</v>
      </c>
      <c r="I86" s="651">
        <v>1.323E-2</v>
      </c>
      <c r="J86" s="684">
        <f t="shared" si="22"/>
        <v>4455.3989902170015</v>
      </c>
      <c r="K86" s="493">
        <f t="shared" si="24"/>
        <v>4.4553989902170015</v>
      </c>
      <c r="L86" s="727">
        <f>'Export Data'!W20</f>
        <v>237.62162799999999</v>
      </c>
      <c r="M86" s="651">
        <v>5.4</v>
      </c>
      <c r="N86" s="651">
        <v>0.24116000000000001</v>
      </c>
      <c r="O86" s="684">
        <f t="shared" si="25"/>
        <v>309.446091765792</v>
      </c>
      <c r="P86" s="493">
        <f t="shared" si="26"/>
        <v>0.30944609176579202</v>
      </c>
      <c r="Q86" s="732">
        <f t="shared" si="20"/>
        <v>4.7648450819827932</v>
      </c>
      <c r="R86" s="735">
        <f t="shared" si="21"/>
        <v>4764.8450819827931</v>
      </c>
    </row>
    <row r="87" spans="1:18">
      <c r="C87" s="569" t="s">
        <v>136</v>
      </c>
      <c r="D87" s="706">
        <f>'Export Data'!X17</f>
        <v>9.8573260000000005</v>
      </c>
      <c r="E87" s="651">
        <v>5.4</v>
      </c>
      <c r="F87" s="651">
        <v>0.24116000000000001</v>
      </c>
      <c r="G87" s="730">
        <v>13496</v>
      </c>
      <c r="H87" s="651">
        <f t="shared" si="23"/>
        <v>24994.592000000001</v>
      </c>
      <c r="I87" s="651">
        <v>1.323E-2</v>
      </c>
      <c r="J87" s="684">
        <f t="shared" si="22"/>
        <v>3272.4421449025881</v>
      </c>
      <c r="K87" s="493">
        <f t="shared" si="24"/>
        <v>3.272442144902588</v>
      </c>
      <c r="L87" s="736">
        <f>'Export Data'!X20</f>
        <v>256.48921699999994</v>
      </c>
      <c r="M87" s="651">
        <v>5.4</v>
      </c>
      <c r="N87" s="651">
        <v>0.24116000000000001</v>
      </c>
      <c r="O87" s="684">
        <f t="shared" si="25"/>
        <v>334.01667368728801</v>
      </c>
      <c r="P87" s="493">
        <f t="shared" si="26"/>
        <v>0.33401667368728799</v>
      </c>
      <c r="Q87" s="732">
        <f t="shared" si="20"/>
        <v>3.6064588185898758</v>
      </c>
      <c r="R87" s="735">
        <f t="shared" si="21"/>
        <v>3606.458818589876</v>
      </c>
    </row>
    <row r="88" spans="1:18">
      <c r="C88" s="737" t="s">
        <v>138</v>
      </c>
      <c r="D88" s="706">
        <f>'Export Data'!Y17</f>
        <v>3.975743</v>
      </c>
      <c r="E88" s="651">
        <v>5.4</v>
      </c>
      <c r="F88" s="651">
        <v>0.24116000000000001</v>
      </c>
      <c r="G88" s="730">
        <v>13496</v>
      </c>
      <c r="H88" s="651">
        <f t="shared" si="23"/>
        <v>24994.592000000001</v>
      </c>
      <c r="I88" s="651">
        <v>1.323E-2</v>
      </c>
      <c r="J88" s="684">
        <f t="shared" si="22"/>
        <v>1319.8700084081067</v>
      </c>
      <c r="K88" s="493">
        <f t="shared" si="24"/>
        <v>1.3198700084081068</v>
      </c>
      <c r="L88" s="736">
        <f>'Export Data'!Y20</f>
        <v>228.52103399999999</v>
      </c>
      <c r="M88" s="651">
        <v>5.4</v>
      </c>
      <c r="N88" s="651">
        <v>0.24116000000000001</v>
      </c>
      <c r="O88" s="684">
        <f>L88*M88*N88</f>
        <v>297.59471582097598</v>
      </c>
      <c r="P88" s="493">
        <f t="shared" si="26"/>
        <v>0.29759471582097596</v>
      </c>
      <c r="Q88" s="732">
        <f t="shared" si="20"/>
        <v>1.6174647242290827</v>
      </c>
      <c r="R88" s="735">
        <f t="shared" si="21"/>
        <v>1617.4647242290828</v>
      </c>
    </row>
    <row r="89" spans="1:18">
      <c r="C89" s="569" t="s">
        <v>139</v>
      </c>
      <c r="D89" s="706">
        <f>'Export Data'!Z17</f>
        <v>14.772024000000002</v>
      </c>
      <c r="E89" s="651">
        <v>5.4</v>
      </c>
      <c r="F89" s="651">
        <v>0.24116000000000001</v>
      </c>
      <c r="G89" s="730">
        <v>13496</v>
      </c>
      <c r="H89" s="651">
        <f t="shared" si="23"/>
        <v>24994.592000000001</v>
      </c>
      <c r="I89" s="651">
        <v>1.323E-2</v>
      </c>
      <c r="J89" s="684">
        <f t="shared" si="22"/>
        <v>4904.0271066527084</v>
      </c>
      <c r="K89" s="493">
        <f t="shared" si="24"/>
        <v>4.9040271066527081</v>
      </c>
      <c r="L89" s="706">
        <f>'Export Data'!Z20</f>
        <v>176.11541499999996</v>
      </c>
      <c r="M89" s="651">
        <v>5.4</v>
      </c>
      <c r="N89" s="651">
        <v>0.24116000000000001</v>
      </c>
      <c r="O89" s="684">
        <f>L89*M89*N89</f>
        <v>229.34876479955997</v>
      </c>
      <c r="P89" s="493">
        <f t="shared" si="26"/>
        <v>0.22934876479955998</v>
      </c>
      <c r="Q89" s="732">
        <f t="shared" si="20"/>
        <v>5.1333758714522677</v>
      </c>
      <c r="R89" s="735">
        <f t="shared" si="21"/>
        <v>5133.3758714522683</v>
      </c>
    </row>
    <row r="90" spans="1:18">
      <c r="C90" s="569" t="s">
        <v>140</v>
      </c>
      <c r="D90" s="706">
        <f>'Export Data'!AA17</f>
        <v>10.191935000000001</v>
      </c>
      <c r="E90" s="651">
        <v>5.4</v>
      </c>
      <c r="F90" s="651">
        <v>0.24116000000000001</v>
      </c>
      <c r="G90" s="730">
        <v>13496</v>
      </c>
      <c r="H90" s="651">
        <f t="shared" si="23"/>
        <v>24994.592000000001</v>
      </c>
      <c r="I90" s="651">
        <v>1.323E-2</v>
      </c>
      <c r="J90" s="684">
        <f t="shared" si="22"/>
        <v>3383.5258803561696</v>
      </c>
      <c r="K90" s="493">
        <f t="shared" si="24"/>
        <v>3.3835258803561699</v>
      </c>
      <c r="L90" s="706">
        <f>'Export Data'!AA20</f>
        <v>215.28200300000003</v>
      </c>
      <c r="M90" s="651">
        <v>5.4</v>
      </c>
      <c r="N90" s="651">
        <v>0.24116000000000001</v>
      </c>
      <c r="O90" s="684">
        <f t="shared" si="25"/>
        <v>280.3540023547921</v>
      </c>
      <c r="P90" s="493">
        <f t="shared" si="26"/>
        <v>0.28035400235479208</v>
      </c>
      <c r="Q90" s="732">
        <f t="shared" si="20"/>
        <v>3.6638798827109618</v>
      </c>
      <c r="R90" s="735">
        <f t="shared" si="21"/>
        <v>3663.8798827109617</v>
      </c>
    </row>
    <row r="91" spans="1:18">
      <c r="C91" s="569" t="s">
        <v>142</v>
      </c>
      <c r="D91" s="706">
        <f>'Export Data'!AB17</f>
        <v>22.667167999999997</v>
      </c>
      <c r="E91" s="651">
        <v>5.4</v>
      </c>
      <c r="F91" s="651">
        <v>0.24116000000000001</v>
      </c>
      <c r="G91" s="730">
        <v>13496</v>
      </c>
      <c r="H91" s="651">
        <f t="shared" si="23"/>
        <v>24994.592000000001</v>
      </c>
      <c r="I91" s="651">
        <v>1.323E-2</v>
      </c>
      <c r="J91" s="684">
        <f t="shared" si="22"/>
        <v>7525.0626659590334</v>
      </c>
      <c r="K91" s="493">
        <f t="shared" si="24"/>
        <v>7.5250626659590338</v>
      </c>
      <c r="L91" s="706">
        <f>'Export Data'!AB20</f>
        <v>157.97148200000001</v>
      </c>
      <c r="M91" s="651">
        <v>5.4</v>
      </c>
      <c r="N91" s="651">
        <v>0.24116000000000001</v>
      </c>
      <c r="O91" s="684">
        <f t="shared" si="25"/>
        <v>205.72057403524803</v>
      </c>
      <c r="P91" s="493">
        <f t="shared" si="26"/>
        <v>0.20572057403524804</v>
      </c>
      <c r="Q91" s="732">
        <f t="shared" si="20"/>
        <v>7.730783239994282</v>
      </c>
      <c r="R91" s="735">
        <f t="shared" si="21"/>
        <v>7730.7832399942818</v>
      </c>
    </row>
    <row r="92" spans="1:18" ht="15.75" thickBot="1">
      <c r="C92" s="573" t="s">
        <v>144</v>
      </c>
      <c r="D92" s="712">
        <f>'Export Data'!AC17</f>
        <v>23.875</v>
      </c>
      <c r="E92" s="713">
        <v>5.4</v>
      </c>
      <c r="F92" s="713">
        <v>0.24116000000000001</v>
      </c>
      <c r="G92" s="738">
        <v>13496</v>
      </c>
      <c r="H92" s="713">
        <f t="shared" si="23"/>
        <v>24994.592000000001</v>
      </c>
      <c r="I92" s="713">
        <v>1.323E-2</v>
      </c>
      <c r="J92" s="691">
        <f t="shared" si="22"/>
        <v>7926.0395983199996</v>
      </c>
      <c r="K92" s="503">
        <f t="shared" si="24"/>
        <v>7.92603959832</v>
      </c>
      <c r="L92" s="712">
        <f>'Export Data'!AC20</f>
        <v>211.393</v>
      </c>
      <c r="M92" s="713">
        <v>5.4</v>
      </c>
      <c r="N92" s="713">
        <v>0.24116000000000001</v>
      </c>
      <c r="O92" s="691">
        <f t="shared" si="25"/>
        <v>275.28949375200006</v>
      </c>
      <c r="P92" s="503">
        <f t="shared" si="26"/>
        <v>0.27528949375200007</v>
      </c>
      <c r="Q92" s="739">
        <f t="shared" si="20"/>
        <v>8.201329092072001</v>
      </c>
      <c r="R92" s="740">
        <f t="shared" si="21"/>
        <v>8201.3290920719992</v>
      </c>
    </row>
    <row r="93" spans="1:18">
      <c r="C93" s="508"/>
      <c r="D93" s="665"/>
      <c r="E93" s="665"/>
      <c r="F93" s="665"/>
      <c r="G93" s="741"/>
      <c r="H93" s="665"/>
      <c r="I93" s="665"/>
      <c r="J93" s="665"/>
      <c r="K93" s="665"/>
      <c r="L93" s="665"/>
      <c r="M93" s="665"/>
      <c r="N93" s="665"/>
      <c r="O93" s="665"/>
      <c r="P93" s="665"/>
      <c r="Q93" s="742"/>
    </row>
    <row r="94" spans="1:18" ht="15.75" thickBot="1"/>
    <row r="95" spans="1:18" ht="15.75" thickBot="1">
      <c r="C95" s="2070" t="s">
        <v>828</v>
      </c>
      <c r="D95" s="2071"/>
      <c r="E95" s="2072"/>
    </row>
    <row r="96" spans="1:18" ht="30.75" thickBot="1">
      <c r="C96" s="743" t="s">
        <v>121</v>
      </c>
      <c r="D96" s="744" t="s">
        <v>829</v>
      </c>
      <c r="E96" s="745" t="s">
        <v>830</v>
      </c>
    </row>
    <row r="97" spans="1:13">
      <c r="C97" s="642" t="s">
        <v>127</v>
      </c>
      <c r="D97" s="746">
        <f>E97*1000</f>
        <v>14280.357476617288</v>
      </c>
      <c r="E97" s="747">
        <f>J6+H21+J36+Q66+Q81+Q51</f>
        <v>14.280357476617288</v>
      </c>
    </row>
    <row r="98" spans="1:13">
      <c r="C98" s="648" t="s">
        <v>128</v>
      </c>
      <c r="D98" s="748">
        <f t="shared" ref="D98:D108" si="27">E98*1000</f>
        <v>14696.190693603487</v>
      </c>
      <c r="E98" s="749">
        <f t="shared" ref="E98:E108" si="28">J7+H22+J37+Q67+Q82+Q52</f>
        <v>14.696190693603487</v>
      </c>
    </row>
    <row r="99" spans="1:13">
      <c r="C99" s="648" t="s">
        <v>129</v>
      </c>
      <c r="D99" s="748">
        <f t="shared" si="27"/>
        <v>18679.843679881578</v>
      </c>
      <c r="E99" s="749">
        <f t="shared" si="28"/>
        <v>18.679843679881579</v>
      </c>
    </row>
    <row r="100" spans="1:13">
      <c r="C100" s="648" t="s">
        <v>130</v>
      </c>
      <c r="D100" s="748">
        <f t="shared" si="27"/>
        <v>19594.477496664273</v>
      </c>
      <c r="E100" s="749">
        <f t="shared" si="28"/>
        <v>19.594477496664272</v>
      </c>
    </row>
    <row r="101" spans="1:13">
      <c r="C101" s="648" t="s">
        <v>132</v>
      </c>
      <c r="D101" s="748">
        <f t="shared" si="27"/>
        <v>22018.372902580468</v>
      </c>
      <c r="E101" s="749">
        <f t="shared" si="28"/>
        <v>22.018372902580467</v>
      </c>
    </row>
    <row r="102" spans="1:13">
      <c r="C102" s="648" t="s">
        <v>134</v>
      </c>
      <c r="D102" s="748">
        <f t="shared" si="27"/>
        <v>18942.331707102792</v>
      </c>
      <c r="E102" s="749">
        <f t="shared" si="28"/>
        <v>18.942331707102792</v>
      </c>
    </row>
    <row r="103" spans="1:13">
      <c r="C103" s="648" t="s">
        <v>136</v>
      </c>
      <c r="D103" s="748">
        <f t="shared" si="27"/>
        <v>16044.460769469875</v>
      </c>
      <c r="E103" s="749">
        <f t="shared" si="28"/>
        <v>16.044460769469875</v>
      </c>
    </row>
    <row r="104" spans="1:13">
      <c r="C104" s="648" t="s">
        <v>138</v>
      </c>
      <c r="D104" s="748">
        <f t="shared" si="27"/>
        <v>26788.598815909078</v>
      </c>
      <c r="E104" s="749">
        <f t="shared" si="28"/>
        <v>26.788598815909079</v>
      </c>
    </row>
    <row r="105" spans="1:13">
      <c r="C105" s="648" t="s">
        <v>139</v>
      </c>
      <c r="D105" s="748">
        <f t="shared" si="27"/>
        <v>16253.311610492268</v>
      </c>
      <c r="E105" s="749">
        <f t="shared" si="28"/>
        <v>16.253311610492268</v>
      </c>
    </row>
    <row r="106" spans="1:13">
      <c r="C106" s="648" t="s">
        <v>140</v>
      </c>
      <c r="D106" s="748">
        <f t="shared" si="27"/>
        <v>15815.886527590959</v>
      </c>
      <c r="E106" s="749">
        <f t="shared" si="28"/>
        <v>15.81588652759096</v>
      </c>
    </row>
    <row r="107" spans="1:13">
      <c r="C107" s="648" t="s">
        <v>142</v>
      </c>
      <c r="D107" s="748">
        <f t="shared" si="27"/>
        <v>19032.199974154282</v>
      </c>
      <c r="E107" s="749">
        <f t="shared" si="28"/>
        <v>19.032199974154281</v>
      </c>
    </row>
    <row r="108" spans="1:13" ht="15.75" thickBot="1">
      <c r="C108" s="659" t="s">
        <v>144</v>
      </c>
      <c r="D108" s="750">
        <f t="shared" si="27"/>
        <v>25475.120602136001</v>
      </c>
      <c r="E108" s="751">
        <f t="shared" si="28"/>
        <v>25.475120602136002</v>
      </c>
    </row>
    <row r="111" spans="1:13" ht="21">
      <c r="A111" s="2063">
        <v>2024</v>
      </c>
      <c r="B111" s="2063"/>
      <c r="C111" s="2063"/>
      <c r="D111" s="2063"/>
      <c r="E111" s="2063"/>
      <c r="F111" s="2063"/>
      <c r="G111" s="2063"/>
      <c r="H111" s="2063"/>
      <c r="I111" s="2063"/>
      <c r="J111" s="2063"/>
      <c r="K111" s="2063"/>
      <c r="L111" s="2063"/>
      <c r="M111" s="2063"/>
    </row>
    <row r="113" spans="1:19" ht="18.75">
      <c r="C113" s="2057" t="s">
        <v>715</v>
      </c>
      <c r="D113" s="2057"/>
      <c r="E113" s="2057"/>
      <c r="F113" s="2057"/>
      <c r="G113" s="2057"/>
      <c r="H113" s="2057"/>
      <c r="I113" s="2057"/>
      <c r="J113" s="2057"/>
      <c r="K113" s="2057"/>
    </row>
    <row r="115" spans="1:19" ht="15.75" thickBot="1">
      <c r="C115" s="2087" t="s">
        <v>758</v>
      </c>
      <c r="D115" s="2088"/>
      <c r="E115" s="2088"/>
      <c r="F115" s="2088"/>
      <c r="G115" s="2088"/>
      <c r="H115" s="2088"/>
      <c r="I115" s="2088"/>
      <c r="J115" s="2088"/>
      <c r="K115" s="2048" t="s">
        <v>721</v>
      </c>
      <c r="L115" s="2049"/>
      <c r="M115" s="2049"/>
      <c r="N115" s="2049"/>
      <c r="O115" s="2049"/>
      <c r="P115" s="2049"/>
      <c r="Q115" s="2049"/>
      <c r="R115" s="2049"/>
      <c r="S115" s="2049"/>
    </row>
    <row r="116" spans="1:19" ht="45">
      <c r="A116" s="880" t="s">
        <v>338</v>
      </c>
      <c r="C116" s="600" t="s">
        <v>121</v>
      </c>
      <c r="D116" s="601" t="s">
        <v>759</v>
      </c>
      <c r="E116" s="602" t="s">
        <v>831</v>
      </c>
      <c r="F116" s="602" t="s">
        <v>761</v>
      </c>
      <c r="G116" s="602" t="s">
        <v>762</v>
      </c>
      <c r="H116" s="602" t="s">
        <v>763</v>
      </c>
      <c r="I116" s="603" t="s">
        <v>764</v>
      </c>
      <c r="J116" s="745" t="s">
        <v>765</v>
      </c>
      <c r="L116" s="605" t="s">
        <v>766</v>
      </c>
      <c r="M116" s="606" t="s">
        <v>767</v>
      </c>
    </row>
    <row r="117" spans="1:19">
      <c r="A117" s="1008" t="s">
        <v>768</v>
      </c>
      <c r="C117" s="529" t="s">
        <v>127</v>
      </c>
      <c r="D117" s="1013">
        <v>63.9</v>
      </c>
      <c r="E117" s="607">
        <v>262</v>
      </c>
      <c r="F117" s="607">
        <v>22</v>
      </c>
      <c r="G117" s="1307">
        <v>6</v>
      </c>
      <c r="H117" s="607">
        <v>0.26913999999999999</v>
      </c>
      <c r="I117" s="1299">
        <f>D117*E117*H117</f>
        <v>4505.8880519999993</v>
      </c>
      <c r="J117" s="1302">
        <f t="shared" ref="J117:J128" si="29">I117/1000</f>
        <v>4.5058880519999995</v>
      </c>
      <c r="L117" s="610" t="s">
        <v>769</v>
      </c>
      <c r="M117" s="610">
        <v>14.3</v>
      </c>
    </row>
    <row r="118" spans="1:19">
      <c r="A118" t="s">
        <v>770</v>
      </c>
      <c r="C118" s="569" t="s">
        <v>128</v>
      </c>
      <c r="D118" s="1016">
        <v>63.900000000000006</v>
      </c>
      <c r="E118" s="612"/>
      <c r="F118" s="612"/>
      <c r="G118" s="1304">
        <v>6</v>
      </c>
      <c r="H118" s="612">
        <v>0.26913999999999999</v>
      </c>
      <c r="I118" s="1300">
        <f>D118*E118*H118</f>
        <v>0</v>
      </c>
      <c r="J118" s="618">
        <f t="shared" si="29"/>
        <v>0</v>
      </c>
      <c r="L118" s="610" t="s">
        <v>771</v>
      </c>
      <c r="M118" s="610">
        <v>11.3</v>
      </c>
    </row>
    <row r="119" spans="1:19">
      <c r="C119" s="569" t="s">
        <v>129</v>
      </c>
      <c r="D119" s="1016">
        <v>63.900000000000006</v>
      </c>
      <c r="E119" s="612"/>
      <c r="F119" s="612"/>
      <c r="G119" s="1304">
        <v>6</v>
      </c>
      <c r="H119" s="612">
        <v>0.26913999999999999</v>
      </c>
      <c r="I119" s="1300">
        <f t="shared" ref="I119:I124" si="30">D119*E119*H119</f>
        <v>0</v>
      </c>
      <c r="J119" s="618">
        <f t="shared" si="29"/>
        <v>0</v>
      </c>
      <c r="L119" s="610" t="s">
        <v>772</v>
      </c>
      <c r="M119" s="610">
        <v>12</v>
      </c>
    </row>
    <row r="120" spans="1:19">
      <c r="C120" s="569" t="s">
        <v>130</v>
      </c>
      <c r="D120" s="1016">
        <v>63.900000000000006</v>
      </c>
      <c r="E120" s="612"/>
      <c r="F120" s="612"/>
      <c r="G120" s="1304">
        <v>6</v>
      </c>
      <c r="H120" s="612">
        <v>0.26913999999999999</v>
      </c>
      <c r="I120" s="1300">
        <f t="shared" si="30"/>
        <v>0</v>
      </c>
      <c r="J120" s="618">
        <f t="shared" si="29"/>
        <v>0</v>
      </c>
      <c r="L120" s="610" t="s">
        <v>773</v>
      </c>
      <c r="M120" s="610">
        <v>10</v>
      </c>
    </row>
    <row r="121" spans="1:19">
      <c r="C121" s="569" t="s">
        <v>132</v>
      </c>
      <c r="D121" s="1016">
        <v>63.900000000000006</v>
      </c>
      <c r="E121" s="612"/>
      <c r="F121" s="612"/>
      <c r="G121" s="1304">
        <v>6</v>
      </c>
      <c r="H121" s="612">
        <v>0.26913999999999999</v>
      </c>
      <c r="I121" s="1300">
        <f t="shared" si="30"/>
        <v>0</v>
      </c>
      <c r="J121" s="618">
        <f t="shared" si="29"/>
        <v>0</v>
      </c>
      <c r="L121" s="615" t="s">
        <v>774</v>
      </c>
      <c r="M121" s="615">
        <v>11.3</v>
      </c>
    </row>
    <row r="122" spans="1:19" ht="15.75" thickBot="1">
      <c r="C122" s="569" t="s">
        <v>134</v>
      </c>
      <c r="D122" s="1016">
        <v>63.900000000000006</v>
      </c>
      <c r="E122" s="612"/>
      <c r="F122" s="612"/>
      <c r="G122" s="1304">
        <v>6</v>
      </c>
      <c r="H122" s="612">
        <v>0.26913999999999999</v>
      </c>
      <c r="I122" s="1300">
        <f t="shared" si="30"/>
        <v>0</v>
      </c>
      <c r="J122" s="618">
        <f t="shared" si="29"/>
        <v>0</v>
      </c>
      <c r="L122" s="615" t="s">
        <v>775</v>
      </c>
      <c r="M122" s="615">
        <v>5</v>
      </c>
    </row>
    <row r="123" spans="1:19" ht="15.75" thickBot="1">
      <c r="C123" s="569" t="s">
        <v>136</v>
      </c>
      <c r="D123" s="1016">
        <v>63.900000000000006</v>
      </c>
      <c r="E123" s="616"/>
      <c r="F123" s="616"/>
      <c r="G123" s="1304">
        <v>6</v>
      </c>
      <c r="H123" s="612">
        <v>0.26913999999999999</v>
      </c>
      <c r="I123" s="1300">
        <f t="shared" si="30"/>
        <v>0</v>
      </c>
      <c r="J123" s="618">
        <f t="shared" si="29"/>
        <v>0</v>
      </c>
      <c r="L123" s="619" t="s">
        <v>335</v>
      </c>
      <c r="M123" s="620">
        <f>AVERAGE(M117:M122)</f>
        <v>10.65</v>
      </c>
    </row>
    <row r="124" spans="1:19" ht="15.75" thickBot="1">
      <c r="C124" s="569" t="s">
        <v>138</v>
      </c>
      <c r="D124" s="1016">
        <v>63.900000000000006</v>
      </c>
      <c r="E124" s="616"/>
      <c r="F124" s="616"/>
      <c r="G124" s="1304">
        <v>6</v>
      </c>
      <c r="H124" s="612">
        <v>0.26913999999999999</v>
      </c>
      <c r="I124" s="1300">
        <f t="shared" si="30"/>
        <v>0</v>
      </c>
      <c r="J124" s="618">
        <f t="shared" si="29"/>
        <v>0</v>
      </c>
      <c r="L124" s="619" t="s">
        <v>334</v>
      </c>
      <c r="M124" s="621">
        <f>SUM(M117:M122)</f>
        <v>63.900000000000006</v>
      </c>
    </row>
    <row r="125" spans="1:19">
      <c r="C125" s="569" t="s">
        <v>139</v>
      </c>
      <c r="D125" s="1016">
        <v>63.900000000000006</v>
      </c>
      <c r="E125" s="616"/>
      <c r="F125" s="616"/>
      <c r="G125" s="1304">
        <v>6</v>
      </c>
      <c r="H125" s="612">
        <v>0.26913999999999999</v>
      </c>
      <c r="I125" s="1300">
        <f t="shared" ref="I125:I127" si="31">D125*E125*H125</f>
        <v>0</v>
      </c>
      <c r="J125" s="618">
        <f t="shared" si="29"/>
        <v>0</v>
      </c>
    </row>
    <row r="126" spans="1:19">
      <c r="C126" s="569" t="s">
        <v>140</v>
      </c>
      <c r="D126" s="1016">
        <v>63.9</v>
      </c>
      <c r="E126" s="616"/>
      <c r="F126" s="616"/>
      <c r="G126" s="1304">
        <v>6</v>
      </c>
      <c r="H126" s="612">
        <v>0.26913999999999999</v>
      </c>
      <c r="I126" s="1300">
        <f t="shared" si="31"/>
        <v>0</v>
      </c>
      <c r="J126" s="618">
        <f t="shared" si="29"/>
        <v>0</v>
      </c>
    </row>
    <row r="127" spans="1:19">
      <c r="C127" s="569" t="s">
        <v>142</v>
      </c>
      <c r="D127" s="1016">
        <v>63.900000000000006</v>
      </c>
      <c r="E127" s="616"/>
      <c r="F127" s="616"/>
      <c r="G127" s="1304">
        <v>6</v>
      </c>
      <c r="H127" s="612">
        <v>0.26913999999999999</v>
      </c>
      <c r="I127" s="1300">
        <f t="shared" si="31"/>
        <v>0</v>
      </c>
      <c r="J127" s="618">
        <f t="shared" si="29"/>
        <v>0</v>
      </c>
    </row>
    <row r="128" spans="1:19" ht="15.75" thickBot="1">
      <c r="C128" s="573" t="s">
        <v>144</v>
      </c>
      <c r="D128" s="1020">
        <v>63.9</v>
      </c>
      <c r="E128" s="623"/>
      <c r="F128" s="623"/>
      <c r="G128" s="1308">
        <v>6</v>
      </c>
      <c r="H128" s="624">
        <v>0.26913999999999999</v>
      </c>
      <c r="I128" s="1301">
        <f>D128*E128*H128</f>
        <v>0</v>
      </c>
      <c r="J128" s="1303">
        <f t="shared" si="29"/>
        <v>0</v>
      </c>
    </row>
    <row r="129" spans="1:13" ht="15.75" thickBot="1"/>
    <row r="130" spans="1:13" ht="15.75" thickBot="1">
      <c r="C130" s="2073" t="s">
        <v>776</v>
      </c>
      <c r="D130" s="2074"/>
      <c r="E130" s="2074"/>
      <c r="F130" s="2074"/>
      <c r="G130" s="2074"/>
      <c r="H130" s="2075"/>
      <c r="J130" s="2076" t="s">
        <v>138</v>
      </c>
      <c r="K130" s="2077"/>
      <c r="M130" s="627" t="s">
        <v>777</v>
      </c>
    </row>
    <row r="131" spans="1:13" ht="45">
      <c r="A131" s="880" t="s">
        <v>338</v>
      </c>
      <c r="C131" s="600" t="s">
        <v>121</v>
      </c>
      <c r="D131" s="601" t="s">
        <v>759</v>
      </c>
      <c r="E131" s="602" t="s">
        <v>831</v>
      </c>
      <c r="F131" s="602" t="s">
        <v>763</v>
      </c>
      <c r="G131" s="603" t="s">
        <v>764</v>
      </c>
      <c r="H131" s="745" t="s">
        <v>765</v>
      </c>
      <c r="J131" s="628" t="s">
        <v>766</v>
      </c>
      <c r="K131" s="629" t="s">
        <v>767</v>
      </c>
      <c r="M131" s="630" t="s">
        <v>764</v>
      </c>
    </row>
    <row r="132" spans="1:13">
      <c r="A132" s="1008" t="s">
        <v>779</v>
      </c>
      <c r="C132" s="529" t="s">
        <v>127</v>
      </c>
      <c r="D132" s="1013">
        <v>43.6</v>
      </c>
      <c r="E132" s="607">
        <v>4</v>
      </c>
      <c r="F132" s="607">
        <v>0.26913999999999999</v>
      </c>
      <c r="G132" s="1299">
        <f t="shared" ref="G132:G138" si="32">D132*E132*F132</f>
        <v>46.938015999999998</v>
      </c>
      <c r="H132" s="1306">
        <f t="shared" ref="H132:H143" si="33">G132/1000</f>
        <v>4.6938015999999999E-2</v>
      </c>
      <c r="J132" s="610" t="s">
        <v>769</v>
      </c>
      <c r="K132" s="610">
        <v>14.3</v>
      </c>
      <c r="M132" s="631">
        <f>I117+G132</f>
        <v>4552.8260679999994</v>
      </c>
    </row>
    <row r="133" spans="1:13">
      <c r="A133" t="s">
        <v>770</v>
      </c>
      <c r="C133" s="569" t="s">
        <v>128</v>
      </c>
      <c r="D133" s="1016">
        <v>43.599999999999994</v>
      </c>
      <c r="E133" s="616"/>
      <c r="F133" s="612">
        <v>0.26913999999999999</v>
      </c>
      <c r="G133" s="1300">
        <f t="shared" si="32"/>
        <v>0</v>
      </c>
      <c r="H133" s="633">
        <f t="shared" si="33"/>
        <v>0</v>
      </c>
      <c r="J133" s="610"/>
      <c r="K133" s="610"/>
      <c r="M133" s="632">
        <f t="shared" ref="M133:M143" si="34">I118+G133</f>
        <v>0</v>
      </c>
    </row>
    <row r="134" spans="1:13">
      <c r="C134" s="569" t="s">
        <v>129</v>
      </c>
      <c r="D134" s="1016">
        <v>43.599999999999994</v>
      </c>
      <c r="E134" s="616"/>
      <c r="F134" s="612">
        <v>0.26913999999999999</v>
      </c>
      <c r="G134" s="1300">
        <f t="shared" si="32"/>
        <v>0</v>
      </c>
      <c r="H134" s="633">
        <f t="shared" si="33"/>
        <v>0</v>
      </c>
      <c r="J134" s="610" t="s">
        <v>780</v>
      </c>
      <c r="K134" s="610">
        <v>12</v>
      </c>
      <c r="M134" s="632">
        <f t="shared" si="34"/>
        <v>0</v>
      </c>
    </row>
    <row r="135" spans="1:13">
      <c r="C135" s="569" t="s">
        <v>130</v>
      </c>
      <c r="D135" s="1016">
        <v>43.599999999999994</v>
      </c>
      <c r="E135" s="616"/>
      <c r="F135" s="612">
        <v>0.26913999999999999</v>
      </c>
      <c r="G135" s="1300">
        <f t="shared" si="32"/>
        <v>0</v>
      </c>
      <c r="H135" s="633">
        <f t="shared" si="33"/>
        <v>0</v>
      </c>
      <c r="J135" s="610" t="s">
        <v>781</v>
      </c>
      <c r="K135" s="610">
        <v>6</v>
      </c>
      <c r="M135" s="632">
        <f t="shared" si="34"/>
        <v>0</v>
      </c>
    </row>
    <row r="136" spans="1:13">
      <c r="C136" s="569" t="s">
        <v>132</v>
      </c>
      <c r="D136" s="1016">
        <v>43.599999999999994</v>
      </c>
      <c r="E136" s="616"/>
      <c r="F136" s="612">
        <v>0.26913999999999999</v>
      </c>
      <c r="G136" s="1300">
        <f t="shared" si="32"/>
        <v>0</v>
      </c>
      <c r="H136" s="633">
        <f t="shared" si="33"/>
        <v>0</v>
      </c>
      <c r="J136" s="615" t="s">
        <v>774</v>
      </c>
      <c r="K136" s="615">
        <v>11.3</v>
      </c>
      <c r="M136" s="632">
        <f t="shared" si="34"/>
        <v>0</v>
      </c>
    </row>
    <row r="137" spans="1:13" ht="15.75" thickBot="1">
      <c r="C137" s="569" t="s">
        <v>134</v>
      </c>
      <c r="D137" s="1016">
        <v>43.599999999999994</v>
      </c>
      <c r="E137" s="616"/>
      <c r="F137" s="612">
        <v>0.26913999999999999</v>
      </c>
      <c r="G137" s="1300">
        <f t="shared" si="32"/>
        <v>0</v>
      </c>
      <c r="H137" s="633">
        <f t="shared" si="33"/>
        <v>0</v>
      </c>
      <c r="J137" s="615"/>
      <c r="K137" s="615"/>
      <c r="M137" s="632">
        <f t="shared" si="34"/>
        <v>0</v>
      </c>
    </row>
    <row r="138" spans="1:13" ht="15.75" thickBot="1">
      <c r="C138" s="569" t="s">
        <v>136</v>
      </c>
      <c r="D138" s="1016">
        <v>43.599999999999994</v>
      </c>
      <c r="E138" s="616"/>
      <c r="F138" s="612">
        <v>0.26913999999999999</v>
      </c>
      <c r="G138" s="1300">
        <f t="shared" si="32"/>
        <v>0</v>
      </c>
      <c r="H138" s="633">
        <f t="shared" si="33"/>
        <v>0</v>
      </c>
      <c r="J138" s="619" t="s">
        <v>335</v>
      </c>
      <c r="K138" s="620">
        <f>AVERAGE(K132:K137)</f>
        <v>10.899999999999999</v>
      </c>
      <c r="M138" s="632">
        <f t="shared" si="34"/>
        <v>0</v>
      </c>
    </row>
    <row r="139" spans="1:13" ht="15.75" thickBot="1">
      <c r="C139" s="569" t="s">
        <v>138</v>
      </c>
      <c r="D139" s="1016">
        <v>43.599999999999994</v>
      </c>
      <c r="E139" s="616"/>
      <c r="F139" s="612">
        <v>0.26913999999999999</v>
      </c>
      <c r="G139" s="1300">
        <f>D139*E139*F139</f>
        <v>0</v>
      </c>
      <c r="H139" s="633">
        <f t="shared" si="33"/>
        <v>0</v>
      </c>
      <c r="J139" s="619" t="s">
        <v>334</v>
      </c>
      <c r="K139" s="621">
        <f>SUM(K132:K137)</f>
        <v>43.599999999999994</v>
      </c>
      <c r="M139" s="632">
        <f t="shared" si="34"/>
        <v>0</v>
      </c>
    </row>
    <row r="140" spans="1:13">
      <c r="C140" s="569" t="s">
        <v>139</v>
      </c>
      <c r="D140" s="1016">
        <v>43.599999999999994</v>
      </c>
      <c r="E140" s="616"/>
      <c r="F140" s="612">
        <v>0.26913999999999999</v>
      </c>
      <c r="G140" s="1300">
        <f>D140*E140*F140</f>
        <v>0</v>
      </c>
      <c r="H140" s="633">
        <f t="shared" si="33"/>
        <v>0</v>
      </c>
      <c r="M140" s="632">
        <f t="shared" si="34"/>
        <v>0</v>
      </c>
    </row>
    <row r="141" spans="1:13">
      <c r="C141" s="569" t="s">
        <v>140</v>
      </c>
      <c r="D141" s="1016">
        <v>43.599999999999994</v>
      </c>
      <c r="E141" s="616"/>
      <c r="F141" s="612">
        <v>0.26913999999999999</v>
      </c>
      <c r="G141" s="1300">
        <f>D141*E141*F141</f>
        <v>0</v>
      </c>
      <c r="H141" s="633">
        <f t="shared" si="33"/>
        <v>0</v>
      </c>
      <c r="M141" s="632">
        <f t="shared" si="34"/>
        <v>0</v>
      </c>
    </row>
    <row r="142" spans="1:13">
      <c r="C142" s="569" t="s">
        <v>142</v>
      </c>
      <c r="D142" s="1016">
        <v>43.599999999999994</v>
      </c>
      <c r="E142" s="616"/>
      <c r="F142" s="612">
        <v>0.26913999999999999</v>
      </c>
      <c r="G142" s="1300">
        <f>D142*E142*F142</f>
        <v>0</v>
      </c>
      <c r="H142" s="633">
        <f t="shared" si="33"/>
        <v>0</v>
      </c>
      <c r="M142" s="632">
        <f t="shared" si="34"/>
        <v>0</v>
      </c>
    </row>
    <row r="143" spans="1:13" ht="15.75" thickBot="1">
      <c r="C143" s="573" t="s">
        <v>144</v>
      </c>
      <c r="D143" s="1020">
        <v>43.6</v>
      </c>
      <c r="E143" s="623"/>
      <c r="F143" s="624">
        <v>0.26913999999999999</v>
      </c>
      <c r="G143" s="1301">
        <f>D143*E143*F143</f>
        <v>0</v>
      </c>
      <c r="H143" s="1305">
        <f t="shared" si="33"/>
        <v>0</v>
      </c>
      <c r="M143" s="634">
        <f t="shared" si="34"/>
        <v>0</v>
      </c>
    </row>
    <row r="144" spans="1:13" ht="15.75" thickBot="1"/>
    <row r="145" spans="1:17" ht="15.75" thickBot="1">
      <c r="C145" s="2078" t="s">
        <v>782</v>
      </c>
      <c r="D145" s="2079"/>
      <c r="E145" s="2079"/>
      <c r="F145" s="2079"/>
      <c r="G145" s="2079"/>
      <c r="H145" s="2079"/>
      <c r="I145" s="2080"/>
    </row>
    <row r="146" spans="1:17" ht="60">
      <c r="A146" s="880" t="s">
        <v>338</v>
      </c>
      <c r="C146" s="635" t="s">
        <v>121</v>
      </c>
      <c r="D146" s="636" t="s">
        <v>783</v>
      </c>
      <c r="E146" s="637" t="s">
        <v>784</v>
      </c>
      <c r="F146" s="637" t="s">
        <v>761</v>
      </c>
      <c r="G146" s="637" t="s">
        <v>785</v>
      </c>
      <c r="H146" s="637" t="s">
        <v>786</v>
      </c>
      <c r="I146" s="638" t="s">
        <v>787</v>
      </c>
      <c r="J146" s="639" t="s">
        <v>765</v>
      </c>
      <c r="L146" s="640" t="s">
        <v>788</v>
      </c>
      <c r="M146" s="641" t="s">
        <v>767</v>
      </c>
    </row>
    <row r="147" spans="1:17">
      <c r="A147" s="1009" t="s">
        <v>789</v>
      </c>
      <c r="C147" s="642" t="s">
        <v>127</v>
      </c>
      <c r="D147" s="934">
        <v>25.6</v>
      </c>
      <c r="E147" s="1309">
        <v>189</v>
      </c>
      <c r="F147" s="1309">
        <v>27</v>
      </c>
      <c r="G147" s="495">
        <v>2</v>
      </c>
      <c r="H147" s="1310">
        <v>1.5161000000000001E-2</v>
      </c>
      <c r="I147" s="1313">
        <f>D147*E147*H147</f>
        <v>73.354982400000011</v>
      </c>
      <c r="J147" s="1312">
        <f>I147/1000</f>
        <v>7.3354982400000018E-2</v>
      </c>
      <c r="L147" s="647" t="s">
        <v>769</v>
      </c>
      <c r="M147" s="647">
        <v>14.3</v>
      </c>
    </row>
    <row r="148" spans="1:17">
      <c r="A148" t="s">
        <v>770</v>
      </c>
      <c r="C148" s="648" t="s">
        <v>128</v>
      </c>
      <c r="D148" s="940">
        <v>25.6</v>
      </c>
      <c r="E148" s="650"/>
      <c r="F148" s="650"/>
      <c r="G148" s="651">
        <v>2</v>
      </c>
      <c r="H148" s="652">
        <v>1.5161000000000001E-2</v>
      </c>
      <c r="I148" s="1313">
        <f t="shared" ref="I148:I153" si="35">D148*E148*H148</f>
        <v>0</v>
      </c>
      <c r="J148" s="1314">
        <f t="shared" ref="J148:J158" si="36">I148/1000</f>
        <v>0</v>
      </c>
      <c r="L148" s="610" t="s">
        <v>771</v>
      </c>
      <c r="M148" s="610">
        <v>11.3</v>
      </c>
    </row>
    <row r="149" spans="1:17">
      <c r="C149" s="648" t="s">
        <v>129</v>
      </c>
      <c r="D149" s="940">
        <v>25.6</v>
      </c>
      <c r="E149" s="650"/>
      <c r="F149" s="650"/>
      <c r="G149" s="651">
        <v>2</v>
      </c>
      <c r="H149" s="652">
        <v>1.5161000000000001E-2</v>
      </c>
      <c r="I149" s="1313">
        <f t="shared" si="35"/>
        <v>0</v>
      </c>
      <c r="J149" s="1314">
        <f t="shared" si="36"/>
        <v>0</v>
      </c>
      <c r="L149" s="615"/>
      <c r="M149" s="615"/>
    </row>
    <row r="150" spans="1:17">
      <c r="C150" s="648" t="s">
        <v>130</v>
      </c>
      <c r="D150" s="940">
        <v>25.6</v>
      </c>
      <c r="E150" s="650"/>
      <c r="F150" s="650"/>
      <c r="G150" s="651">
        <v>2</v>
      </c>
      <c r="H150" s="652">
        <v>1.5161000000000001E-2</v>
      </c>
      <c r="I150" s="1313">
        <f t="shared" si="35"/>
        <v>0</v>
      </c>
      <c r="J150" s="1314">
        <f t="shared" si="36"/>
        <v>0</v>
      </c>
      <c r="L150" s="619" t="s">
        <v>335</v>
      </c>
      <c r="M150" s="620">
        <f>AVERAGE(M147:M149)</f>
        <v>12.8</v>
      </c>
    </row>
    <row r="151" spans="1:17">
      <c r="C151" s="648" t="s">
        <v>132</v>
      </c>
      <c r="D151" s="940">
        <v>25.6</v>
      </c>
      <c r="E151" s="650"/>
      <c r="F151" s="650"/>
      <c r="G151" s="651">
        <v>2</v>
      </c>
      <c r="H151" s="652">
        <v>1.5161000000000001E-2</v>
      </c>
      <c r="I151" s="1313">
        <f t="shared" si="35"/>
        <v>0</v>
      </c>
      <c r="J151" s="1314">
        <f t="shared" si="36"/>
        <v>0</v>
      </c>
      <c r="L151" s="654" t="s">
        <v>334</v>
      </c>
      <c r="M151" s="655">
        <f>SUM(M147:M149)</f>
        <v>25.6</v>
      </c>
    </row>
    <row r="152" spans="1:17">
      <c r="C152" s="648" t="s">
        <v>134</v>
      </c>
      <c r="D152" s="940">
        <v>25.6</v>
      </c>
      <c r="E152" s="650"/>
      <c r="F152" s="650"/>
      <c r="G152" s="651">
        <v>2</v>
      </c>
      <c r="H152" s="652">
        <v>1.5161000000000001E-2</v>
      </c>
      <c r="I152" s="1313">
        <f t="shared" si="35"/>
        <v>0</v>
      </c>
      <c r="J152" s="1314">
        <f t="shared" si="36"/>
        <v>0</v>
      </c>
    </row>
    <row r="153" spans="1:17">
      <c r="C153" s="648" t="s">
        <v>136</v>
      </c>
      <c r="D153" s="940">
        <v>25.6</v>
      </c>
      <c r="E153" s="650"/>
      <c r="F153" s="656"/>
      <c r="G153" s="651">
        <v>2</v>
      </c>
      <c r="H153" s="652">
        <v>1.5161000000000001E-2</v>
      </c>
      <c r="I153" s="1313">
        <f t="shared" si="35"/>
        <v>0</v>
      </c>
      <c r="J153" s="1314">
        <f t="shared" si="36"/>
        <v>0</v>
      </c>
    </row>
    <row r="154" spans="1:17">
      <c r="C154" s="648" t="s">
        <v>138</v>
      </c>
      <c r="D154" s="940">
        <v>25.6</v>
      </c>
      <c r="E154" s="650"/>
      <c r="F154" s="650"/>
      <c r="G154" s="651">
        <v>2</v>
      </c>
      <c r="H154" s="652">
        <v>1.5161000000000001E-2</v>
      </c>
      <c r="I154" s="1313">
        <f>D154*E154*H154</f>
        <v>0</v>
      </c>
      <c r="J154" s="1314">
        <f t="shared" si="36"/>
        <v>0</v>
      </c>
    </row>
    <row r="155" spans="1:17">
      <c r="C155" s="648" t="s">
        <v>139</v>
      </c>
      <c r="D155" s="940">
        <v>25.6</v>
      </c>
      <c r="E155" s="650"/>
      <c r="F155" s="650"/>
      <c r="G155" s="651">
        <v>2</v>
      </c>
      <c r="H155" s="652">
        <v>1.5161000000000001E-2</v>
      </c>
      <c r="I155" s="1313">
        <f t="shared" ref="I155:I157" si="37">D155*E155*H155</f>
        <v>0</v>
      </c>
      <c r="J155" s="1314">
        <f t="shared" si="36"/>
        <v>0</v>
      </c>
    </row>
    <row r="156" spans="1:17">
      <c r="C156" s="648" t="s">
        <v>140</v>
      </c>
      <c r="D156" s="940">
        <v>25.6</v>
      </c>
      <c r="E156" s="650"/>
      <c r="F156" s="650"/>
      <c r="G156" s="651">
        <v>2</v>
      </c>
      <c r="H156" s="652">
        <v>1.5161000000000001E-2</v>
      </c>
      <c r="I156" s="1313">
        <f t="shared" si="37"/>
        <v>0</v>
      </c>
      <c r="J156" s="1314">
        <f t="shared" si="36"/>
        <v>0</v>
      </c>
    </row>
    <row r="157" spans="1:17">
      <c r="C157" s="648" t="s">
        <v>142</v>
      </c>
      <c r="D157" s="940">
        <v>25.6</v>
      </c>
      <c r="E157" s="650"/>
      <c r="F157" s="650"/>
      <c r="G157" s="651">
        <v>2</v>
      </c>
      <c r="H157" s="652">
        <v>1.5161000000000001E-2</v>
      </c>
      <c r="I157" s="1313">
        <f t="shared" si="37"/>
        <v>0</v>
      </c>
      <c r="J157" s="1314">
        <f t="shared" si="36"/>
        <v>0</v>
      </c>
    </row>
    <row r="158" spans="1:17" ht="15.75" thickBot="1">
      <c r="C158" s="659" t="s">
        <v>144</v>
      </c>
      <c r="D158" s="943">
        <v>25.6</v>
      </c>
      <c r="E158" s="661"/>
      <c r="F158" s="661"/>
      <c r="G158" s="713">
        <v>2</v>
      </c>
      <c r="H158" s="662">
        <v>1.5161000000000001E-2</v>
      </c>
      <c r="I158" s="1311">
        <f>D158*E158*H158</f>
        <v>0</v>
      </c>
      <c r="J158" s="1315">
        <f t="shared" si="36"/>
        <v>0</v>
      </c>
    </row>
    <row r="159" spans="1:17" ht="15.75" thickBot="1">
      <c r="C159" s="508"/>
      <c r="D159" s="665"/>
      <c r="E159" s="665"/>
      <c r="F159" s="666"/>
      <c r="G159" s="667"/>
      <c r="I159" s="486"/>
    </row>
    <row r="160" spans="1:17" ht="15.75" thickBot="1">
      <c r="C160" s="2050" t="s">
        <v>790</v>
      </c>
      <c r="D160" s="2051"/>
      <c r="E160" s="2051"/>
      <c r="F160" s="2051"/>
      <c r="G160" s="2051"/>
      <c r="H160" s="2051"/>
      <c r="I160" s="2051"/>
      <c r="J160" s="2051"/>
      <c r="K160" s="2051"/>
      <c r="L160" s="2051"/>
      <c r="M160" s="2051"/>
      <c r="N160" s="2051"/>
      <c r="O160" s="2051"/>
      <c r="P160" s="2051"/>
      <c r="Q160" s="2052"/>
    </row>
    <row r="161" spans="1:18" ht="90.75" thickBot="1">
      <c r="A161" s="880" t="s">
        <v>338</v>
      </c>
      <c r="C161" s="668" t="s">
        <v>121</v>
      </c>
      <c r="D161" s="669" t="s">
        <v>791</v>
      </c>
      <c r="E161" s="670" t="s">
        <v>792</v>
      </c>
      <c r="F161" s="670" t="s">
        <v>793</v>
      </c>
      <c r="G161" s="670" t="s">
        <v>794</v>
      </c>
      <c r="H161" s="670" t="s">
        <v>795</v>
      </c>
      <c r="I161" s="671" t="s">
        <v>796</v>
      </c>
      <c r="J161" s="669" t="s">
        <v>797</v>
      </c>
      <c r="K161" s="670" t="s">
        <v>798</v>
      </c>
      <c r="L161" s="670" t="s">
        <v>799</v>
      </c>
      <c r="M161" s="670" t="s">
        <v>800</v>
      </c>
      <c r="N161" s="670" t="s">
        <v>801</v>
      </c>
      <c r="O161" s="671" t="s">
        <v>802</v>
      </c>
      <c r="P161" s="543" t="s">
        <v>803</v>
      </c>
      <c r="Q161" s="641" t="s">
        <v>804</v>
      </c>
    </row>
    <row r="162" spans="1:18">
      <c r="A162" s="883" t="s">
        <v>805</v>
      </c>
      <c r="C162" s="672" t="s">
        <v>127</v>
      </c>
      <c r="D162" s="673">
        <v>0</v>
      </c>
      <c r="E162" s="674">
        <v>0</v>
      </c>
      <c r="F162" s="674">
        <v>0</v>
      </c>
      <c r="G162" s="674">
        <v>0</v>
      </c>
      <c r="H162" s="675">
        <f>SUM(D162:G162)</f>
        <v>0</v>
      </c>
      <c r="I162" s="676">
        <v>0.140625</v>
      </c>
      <c r="J162" s="677">
        <v>177</v>
      </c>
      <c r="K162" s="678">
        <v>0</v>
      </c>
      <c r="L162" s="674">
        <v>0</v>
      </c>
      <c r="M162" s="674">
        <v>0</v>
      </c>
      <c r="N162" s="679">
        <f>SUM(J162:M162)</f>
        <v>177</v>
      </c>
      <c r="O162" s="676">
        <v>0.15101999999999999</v>
      </c>
      <c r="P162" s="672">
        <f>(H162*I162)+(N162*O162)</f>
        <v>26.730539999999998</v>
      </c>
      <c r="Q162" s="680">
        <f>P162/1000</f>
        <v>2.6730539999999997E-2</v>
      </c>
    </row>
    <row r="163" spans="1:18">
      <c r="A163" t="s">
        <v>770</v>
      </c>
      <c r="C163" s="493" t="s">
        <v>128</v>
      </c>
      <c r="D163" s="681"/>
      <c r="E163" s="682"/>
      <c r="F163" s="682"/>
      <c r="G163" s="682"/>
      <c r="H163" s="683">
        <f t="shared" ref="H163:H173" si="38">SUM(D163:G163)</f>
        <v>0</v>
      </c>
      <c r="I163" s="684">
        <v>0.140625</v>
      </c>
      <c r="J163" s="498"/>
      <c r="K163" s="586"/>
      <c r="L163" s="682"/>
      <c r="M163" s="682"/>
      <c r="N163" s="685">
        <f>SUM(J163:M163)</f>
        <v>0</v>
      </c>
      <c r="O163" s="684">
        <v>0.15101999999999999</v>
      </c>
      <c r="P163" s="672">
        <f t="shared" ref="P163:P173" si="39">(H163*I163)+(N163*O163)</f>
        <v>0</v>
      </c>
      <c r="Q163" s="686">
        <f>P163/1000</f>
        <v>0</v>
      </c>
    </row>
    <row r="164" spans="1:18">
      <c r="C164" s="493" t="s">
        <v>129</v>
      </c>
      <c r="D164" s="681"/>
      <c r="E164" s="682"/>
      <c r="F164" s="682"/>
      <c r="G164" s="682"/>
      <c r="H164" s="683">
        <f t="shared" si="38"/>
        <v>0</v>
      </c>
      <c r="I164" s="684">
        <v>0.140625</v>
      </c>
      <c r="J164" s="498"/>
      <c r="K164" s="586"/>
      <c r="L164" s="682"/>
      <c r="M164" s="682"/>
      <c r="N164" s="685">
        <f>SUM(J164:M164)</f>
        <v>0</v>
      </c>
      <c r="O164" s="684">
        <v>0.15101999999999999</v>
      </c>
      <c r="P164" s="672">
        <f t="shared" si="39"/>
        <v>0</v>
      </c>
      <c r="Q164" s="686">
        <f>P164/1000</f>
        <v>0</v>
      </c>
    </row>
    <row r="165" spans="1:18">
      <c r="C165" s="493" t="s">
        <v>130</v>
      </c>
      <c r="D165" s="681"/>
      <c r="E165" s="682"/>
      <c r="F165" s="682"/>
      <c r="G165" s="682"/>
      <c r="H165" s="683">
        <f t="shared" si="38"/>
        <v>0</v>
      </c>
      <c r="I165" s="684">
        <v>0.140625</v>
      </c>
      <c r="J165" s="498"/>
      <c r="K165" s="586"/>
      <c r="L165" s="682"/>
      <c r="M165" s="682"/>
      <c r="N165" s="685">
        <f t="shared" ref="N165:N173" si="40">SUM(J165:M165)</f>
        <v>0</v>
      </c>
      <c r="O165" s="684">
        <v>0.15101999999999999</v>
      </c>
      <c r="P165" s="672">
        <f t="shared" si="39"/>
        <v>0</v>
      </c>
      <c r="Q165" s="686">
        <f t="shared" ref="Q165:Q173" si="41">P165/1000</f>
        <v>0</v>
      </c>
    </row>
    <row r="166" spans="1:18">
      <c r="C166" s="493" t="s">
        <v>132</v>
      </c>
      <c r="D166" s="681"/>
      <c r="E166" s="682"/>
      <c r="F166" s="682"/>
      <c r="G166" s="682"/>
      <c r="H166" s="683">
        <f t="shared" si="38"/>
        <v>0</v>
      </c>
      <c r="I166" s="684">
        <v>0.140625</v>
      </c>
      <c r="J166" s="498"/>
      <c r="K166" s="586"/>
      <c r="L166" s="586"/>
      <c r="M166" s="586"/>
      <c r="N166" s="685">
        <f t="shared" si="40"/>
        <v>0</v>
      </c>
      <c r="O166" s="684">
        <v>0.15101999999999999</v>
      </c>
      <c r="P166" s="672">
        <f t="shared" si="39"/>
        <v>0</v>
      </c>
      <c r="Q166" s="686">
        <f t="shared" si="41"/>
        <v>0</v>
      </c>
    </row>
    <row r="167" spans="1:18">
      <c r="C167" s="493" t="s">
        <v>134</v>
      </c>
      <c r="D167" s="681"/>
      <c r="E167" s="682"/>
      <c r="F167" s="682"/>
      <c r="G167" s="682"/>
      <c r="H167" s="683">
        <f t="shared" si="38"/>
        <v>0</v>
      </c>
      <c r="I167" s="684">
        <v>0.140625</v>
      </c>
      <c r="J167" s="498"/>
      <c r="K167" s="586"/>
      <c r="L167" s="586"/>
      <c r="M167" s="586"/>
      <c r="N167" s="685">
        <f t="shared" si="40"/>
        <v>0</v>
      </c>
      <c r="O167" s="684">
        <v>0.15101999999999999</v>
      </c>
      <c r="P167" s="672">
        <f t="shared" si="39"/>
        <v>0</v>
      </c>
      <c r="Q167" s="686">
        <f t="shared" si="41"/>
        <v>0</v>
      </c>
    </row>
    <row r="168" spans="1:18">
      <c r="C168" s="493" t="s">
        <v>136</v>
      </c>
      <c r="D168" s="681"/>
      <c r="E168" s="682"/>
      <c r="F168" s="682"/>
      <c r="G168" s="682"/>
      <c r="H168" s="683">
        <f t="shared" si="38"/>
        <v>0</v>
      </c>
      <c r="I168" s="684">
        <v>0.140625</v>
      </c>
      <c r="J168" s="498"/>
      <c r="K168" s="687"/>
      <c r="L168" s="688"/>
      <c r="M168" s="688"/>
      <c r="N168" s="685">
        <f t="shared" si="40"/>
        <v>0</v>
      </c>
      <c r="O168" s="684">
        <v>0.15101999999999999</v>
      </c>
      <c r="P168" s="672">
        <f t="shared" si="39"/>
        <v>0</v>
      </c>
      <c r="Q168" s="686">
        <f t="shared" si="41"/>
        <v>0</v>
      </c>
    </row>
    <row r="169" spans="1:18">
      <c r="C169" s="493" t="s">
        <v>138</v>
      </c>
      <c r="D169" s="498"/>
      <c r="E169" s="682"/>
      <c r="F169" s="682"/>
      <c r="G169" s="682"/>
      <c r="H169" s="685">
        <f t="shared" si="38"/>
        <v>0</v>
      </c>
      <c r="I169" s="684">
        <v>0.140625</v>
      </c>
      <c r="J169" s="681"/>
      <c r="K169" s="682"/>
      <c r="L169" s="682"/>
      <c r="M169" s="682"/>
      <c r="N169" s="683">
        <f t="shared" si="40"/>
        <v>0</v>
      </c>
      <c r="O169" s="684">
        <v>0.15101999999999999</v>
      </c>
      <c r="P169" s="672">
        <f t="shared" si="39"/>
        <v>0</v>
      </c>
      <c r="Q169" s="686">
        <f t="shared" si="41"/>
        <v>0</v>
      </c>
    </row>
    <row r="170" spans="1:18">
      <c r="C170" s="493" t="s">
        <v>139</v>
      </c>
      <c r="D170" s="681"/>
      <c r="E170" s="682"/>
      <c r="F170" s="682"/>
      <c r="G170" s="682"/>
      <c r="H170" s="683">
        <f t="shared" si="38"/>
        <v>0</v>
      </c>
      <c r="I170" s="684">
        <v>0.140625</v>
      </c>
      <c r="J170" s="681"/>
      <c r="K170" s="682"/>
      <c r="L170" s="682"/>
      <c r="M170" s="682"/>
      <c r="N170" s="683">
        <f t="shared" si="40"/>
        <v>0</v>
      </c>
      <c r="O170" s="684">
        <v>0.15101999999999999</v>
      </c>
      <c r="P170" s="672">
        <f t="shared" si="39"/>
        <v>0</v>
      </c>
      <c r="Q170" s="686">
        <f t="shared" si="41"/>
        <v>0</v>
      </c>
    </row>
    <row r="171" spans="1:18">
      <c r="C171" s="493" t="s">
        <v>140</v>
      </c>
      <c r="D171" s="681"/>
      <c r="E171" s="682"/>
      <c r="F171" s="682"/>
      <c r="G171" s="682"/>
      <c r="H171" s="683">
        <f t="shared" si="38"/>
        <v>0</v>
      </c>
      <c r="I171" s="684">
        <v>0.140625</v>
      </c>
      <c r="J171" s="681"/>
      <c r="K171" s="682"/>
      <c r="L171" s="682"/>
      <c r="M171" s="682"/>
      <c r="N171" s="683">
        <f t="shared" si="40"/>
        <v>0</v>
      </c>
      <c r="O171" s="684">
        <v>0.15101999999999999</v>
      </c>
      <c r="P171" s="672">
        <f t="shared" si="39"/>
        <v>0</v>
      </c>
      <c r="Q171" s="686">
        <f t="shared" si="41"/>
        <v>0</v>
      </c>
    </row>
    <row r="172" spans="1:18">
      <c r="C172" s="493" t="s">
        <v>142</v>
      </c>
      <c r="D172" s="681"/>
      <c r="E172" s="682"/>
      <c r="F172" s="682"/>
      <c r="G172" s="682"/>
      <c r="H172" s="683">
        <f t="shared" si="38"/>
        <v>0</v>
      </c>
      <c r="I172" s="684">
        <v>0.140625</v>
      </c>
      <c r="J172" s="681"/>
      <c r="K172" s="682"/>
      <c r="L172" s="682"/>
      <c r="M172" s="682"/>
      <c r="N172" s="683">
        <f t="shared" si="40"/>
        <v>0</v>
      </c>
      <c r="O172" s="684">
        <v>0.15101999999999999</v>
      </c>
      <c r="P172" s="672">
        <f t="shared" si="39"/>
        <v>0</v>
      </c>
      <c r="Q172" s="686">
        <f t="shared" si="41"/>
        <v>0</v>
      </c>
    </row>
    <row r="173" spans="1:18" ht="15.75" thickBot="1">
      <c r="C173" s="503" t="s">
        <v>144</v>
      </c>
      <c r="D173" s="660"/>
      <c r="E173" s="661"/>
      <c r="F173" s="661"/>
      <c r="G173" s="661"/>
      <c r="H173" s="690">
        <f t="shared" si="38"/>
        <v>0</v>
      </c>
      <c r="I173" s="691">
        <v>0.140625</v>
      </c>
      <c r="J173" s="692"/>
      <c r="K173" s="693"/>
      <c r="L173" s="693"/>
      <c r="M173" s="693"/>
      <c r="N173" s="690">
        <f t="shared" si="40"/>
        <v>0</v>
      </c>
      <c r="O173" s="691">
        <v>0.15101999999999999</v>
      </c>
      <c r="P173" s="672">
        <f t="shared" si="39"/>
        <v>0</v>
      </c>
      <c r="Q173" s="1316">
        <f t="shared" si="41"/>
        <v>0</v>
      </c>
    </row>
    <row r="174" spans="1:18" ht="15.75" thickBot="1">
      <c r="C174" s="508"/>
      <c r="D174" s="665"/>
      <c r="E174" s="665"/>
      <c r="F174" s="666"/>
      <c r="G174" s="667"/>
      <c r="I174" s="486"/>
    </row>
    <row r="175" spans="1:18" ht="15.75" thickBot="1">
      <c r="C175" s="2081" t="s">
        <v>806</v>
      </c>
      <c r="D175" s="2082"/>
      <c r="E175" s="2082"/>
      <c r="F175" s="2082"/>
      <c r="G175" s="2082"/>
      <c r="H175" s="2082"/>
      <c r="I175" s="2082"/>
      <c r="J175" s="2082"/>
      <c r="K175" s="2083"/>
      <c r="L175" s="2084" t="s">
        <v>807</v>
      </c>
      <c r="M175" s="2085"/>
      <c r="N175" s="2085"/>
      <c r="O175" s="2085"/>
      <c r="P175" s="2086"/>
    </row>
    <row r="176" spans="1:18" ht="105.75" thickBot="1">
      <c r="A176" s="880" t="s">
        <v>338</v>
      </c>
      <c r="C176" s="695" t="s">
        <v>121</v>
      </c>
      <c r="D176" s="1317" t="s">
        <v>808</v>
      </c>
      <c r="E176" s="1318" t="s">
        <v>809</v>
      </c>
      <c r="F176" s="1318" t="s">
        <v>810</v>
      </c>
      <c r="G176" s="1318" t="s">
        <v>811</v>
      </c>
      <c r="H176" s="1318" t="s">
        <v>812</v>
      </c>
      <c r="I176" s="1318" t="s">
        <v>813</v>
      </c>
      <c r="J176" s="1319" t="s">
        <v>814</v>
      </c>
      <c r="K176" s="699" t="s">
        <v>815</v>
      </c>
      <c r="L176" s="700" t="s">
        <v>808</v>
      </c>
      <c r="M176" s="701" t="s">
        <v>809</v>
      </c>
      <c r="N176" s="701" t="s">
        <v>816</v>
      </c>
      <c r="O176" s="702" t="s">
        <v>814</v>
      </c>
      <c r="P176" s="703" t="s">
        <v>815</v>
      </c>
      <c r="Q176" s="704" t="s">
        <v>817</v>
      </c>
      <c r="R176" s="705" t="s">
        <v>818</v>
      </c>
    </row>
    <row r="177" spans="1:18">
      <c r="A177" s="883" t="s">
        <v>819</v>
      </c>
      <c r="C177" s="529" t="s">
        <v>127</v>
      </c>
      <c r="D177" s="1320">
        <f>'Import Data'!C23</f>
        <v>68</v>
      </c>
      <c r="E177" s="495">
        <v>5.4</v>
      </c>
      <c r="F177" s="495">
        <v>0.24116000000000001</v>
      </c>
      <c r="G177" s="495">
        <v>3716</v>
      </c>
      <c r="H177" s="495">
        <f>G177*1.852</f>
        <v>6882.0320000000002</v>
      </c>
      <c r="I177" s="495">
        <v>1.323E-2</v>
      </c>
      <c r="J177" s="1193">
        <f>D177*((E177*F177)+(H177*I177))</f>
        <v>6279.90522048</v>
      </c>
      <c r="K177" s="493">
        <f>J177/1000</f>
        <v>6.2799052204799999</v>
      </c>
      <c r="L177" s="706">
        <f>'Import Data'!F23</f>
        <v>117</v>
      </c>
      <c r="M177" s="651">
        <v>5.4</v>
      </c>
      <c r="N177" s="651">
        <v>0.24116000000000001</v>
      </c>
      <c r="O177" s="684">
        <f>L177*M177*N177</f>
        <v>152.36488800000004</v>
      </c>
      <c r="P177" s="523">
        <f>O177/1000</f>
        <v>0.15236488800000003</v>
      </c>
      <c r="Q177" s="708">
        <f>P177+K177</f>
        <v>6.43227010848</v>
      </c>
      <c r="R177" s="709">
        <f>O177+J177</f>
        <v>6432.2701084800001</v>
      </c>
    </row>
    <row r="178" spans="1:18">
      <c r="A178" t="s">
        <v>820</v>
      </c>
      <c r="C178" s="569" t="s">
        <v>128</v>
      </c>
      <c r="D178" s="706">
        <f>'Import Data'!C24</f>
        <v>0</v>
      </c>
      <c r="E178" s="651">
        <v>5.4</v>
      </c>
      <c r="F178" s="651">
        <v>0.24116000000000001</v>
      </c>
      <c r="G178" s="651">
        <v>3716</v>
      </c>
      <c r="H178" s="651">
        <f>G178*1.852</f>
        <v>6882.0320000000002</v>
      </c>
      <c r="I178" s="651">
        <v>1.323E-2</v>
      </c>
      <c r="J178" s="684">
        <f>D178*((E178*F178)+(H178*I178))</f>
        <v>0</v>
      </c>
      <c r="K178" s="493">
        <f>J178/1000</f>
        <v>0</v>
      </c>
      <c r="L178" s="706">
        <f>'Import Data'!F24</f>
        <v>0</v>
      </c>
      <c r="M178" s="651">
        <v>5.4</v>
      </c>
      <c r="N178" s="651">
        <v>0.24116000000000001</v>
      </c>
      <c r="O178" s="684">
        <f>L178*M178*N178</f>
        <v>0</v>
      </c>
      <c r="P178" s="523">
        <f>O178/1000</f>
        <v>0</v>
      </c>
      <c r="Q178" s="710">
        <f t="shared" ref="Q178:Q188" si="42">P178+K178</f>
        <v>0</v>
      </c>
      <c r="R178" s="711">
        <f t="shared" ref="R178:R188" si="43">O178+J178</f>
        <v>0</v>
      </c>
    </row>
    <row r="179" spans="1:18">
      <c r="C179" s="569" t="s">
        <v>129</v>
      </c>
      <c r="D179" s="706">
        <f>'Import Data'!C25</f>
        <v>0</v>
      </c>
      <c r="E179" s="651">
        <v>5.4</v>
      </c>
      <c r="F179" s="651">
        <v>0.24116000000000001</v>
      </c>
      <c r="G179" s="651">
        <v>3716</v>
      </c>
      <c r="H179" s="651">
        <f>G179*1.852</f>
        <v>6882.0320000000002</v>
      </c>
      <c r="I179" s="651">
        <v>1.323E-2</v>
      </c>
      <c r="J179" s="684">
        <f>D179*((E179*F179)+(H179*I178))</f>
        <v>0</v>
      </c>
      <c r="K179" s="493">
        <f>J179/1000</f>
        <v>0</v>
      </c>
      <c r="L179" s="706">
        <f>'Import Data'!F25</f>
        <v>0</v>
      </c>
      <c r="M179" s="651">
        <v>5.4</v>
      </c>
      <c r="N179" s="651">
        <v>0.24116000000000001</v>
      </c>
      <c r="O179" s="684">
        <f>L179*M179*N179</f>
        <v>0</v>
      </c>
      <c r="P179" s="523">
        <f>O179/1000</f>
        <v>0</v>
      </c>
      <c r="Q179" s="710">
        <f t="shared" si="42"/>
        <v>0</v>
      </c>
      <c r="R179" s="711">
        <f t="shared" si="43"/>
        <v>0</v>
      </c>
    </row>
    <row r="180" spans="1:18">
      <c r="C180" s="569" t="s">
        <v>130</v>
      </c>
      <c r="D180" s="706">
        <f>'Import Data'!C26</f>
        <v>0</v>
      </c>
      <c r="E180" s="651">
        <v>5.4</v>
      </c>
      <c r="F180" s="651">
        <v>0.24116000000000001</v>
      </c>
      <c r="G180" s="651">
        <v>3716</v>
      </c>
      <c r="H180" s="651">
        <f t="shared" ref="H180:H188" si="44">G180*1.852</f>
        <v>6882.0320000000002</v>
      </c>
      <c r="I180" s="651">
        <v>1.323E-2</v>
      </c>
      <c r="J180" s="684">
        <f t="shared" ref="J180:J188" si="45">D180*((E180*F180)+(H180*I179))</f>
        <v>0</v>
      </c>
      <c r="K180" s="493">
        <f t="shared" ref="K180:K188" si="46">J180/1000</f>
        <v>0</v>
      </c>
      <c r="L180" s="706">
        <f>'Import Data'!F26</f>
        <v>0</v>
      </c>
      <c r="M180" s="651">
        <v>5.4</v>
      </c>
      <c r="N180" s="651">
        <v>0.24116000000000001</v>
      </c>
      <c r="O180" s="684">
        <f t="shared" ref="O180" si="47">L180*M180*N180</f>
        <v>0</v>
      </c>
      <c r="P180" s="523">
        <f t="shared" ref="P180:P188" si="48">O180/1000</f>
        <v>0</v>
      </c>
      <c r="Q180" s="710">
        <f t="shared" si="42"/>
        <v>0</v>
      </c>
      <c r="R180" s="711">
        <f t="shared" si="43"/>
        <v>0</v>
      </c>
    </row>
    <row r="181" spans="1:18">
      <c r="C181" s="569" t="s">
        <v>132</v>
      </c>
      <c r="D181" s="706">
        <f>'Import Data'!C27</f>
        <v>0</v>
      </c>
      <c r="E181" s="651">
        <v>5.4</v>
      </c>
      <c r="F181" s="651">
        <v>0.24116000000000001</v>
      </c>
      <c r="G181" s="651">
        <v>3716</v>
      </c>
      <c r="H181" s="651">
        <f t="shared" si="44"/>
        <v>6882.0320000000002</v>
      </c>
      <c r="I181" s="651">
        <v>1.323E-2</v>
      </c>
      <c r="J181" s="684">
        <f t="shared" si="45"/>
        <v>0</v>
      </c>
      <c r="K181" s="493">
        <f t="shared" si="46"/>
        <v>0</v>
      </c>
      <c r="L181" s="706">
        <f>'Import Data'!F27</f>
        <v>0</v>
      </c>
      <c r="M181" s="651">
        <v>5.4</v>
      </c>
      <c r="N181" s="651">
        <v>0.24116000000000001</v>
      </c>
      <c r="O181" s="684">
        <f>L181*M181*N181</f>
        <v>0</v>
      </c>
      <c r="P181" s="523">
        <f t="shared" si="48"/>
        <v>0</v>
      </c>
      <c r="Q181" s="710">
        <f t="shared" si="42"/>
        <v>0</v>
      </c>
      <c r="R181" s="711">
        <f t="shared" si="43"/>
        <v>0</v>
      </c>
    </row>
    <row r="182" spans="1:18">
      <c r="C182" s="569" t="s">
        <v>134</v>
      </c>
      <c r="D182" s="706">
        <f>'Import Data'!C28</f>
        <v>0</v>
      </c>
      <c r="E182" s="651">
        <v>5.4</v>
      </c>
      <c r="F182" s="651">
        <v>0.24116000000000001</v>
      </c>
      <c r="G182" s="651">
        <v>3716</v>
      </c>
      <c r="H182" s="651">
        <f t="shared" si="44"/>
        <v>6882.0320000000002</v>
      </c>
      <c r="I182" s="651">
        <v>1.323E-2</v>
      </c>
      <c r="J182" s="684">
        <f t="shared" si="45"/>
        <v>0</v>
      </c>
      <c r="K182" s="493">
        <f t="shared" si="46"/>
        <v>0</v>
      </c>
      <c r="L182" s="706">
        <f>'Import Data'!F28</f>
        <v>0</v>
      </c>
      <c r="M182" s="651">
        <v>5.4</v>
      </c>
      <c r="N182" s="651">
        <v>0.24116000000000001</v>
      </c>
      <c r="O182" s="684">
        <f>L182*M182*N182</f>
        <v>0</v>
      </c>
      <c r="P182" s="523">
        <f t="shared" si="48"/>
        <v>0</v>
      </c>
      <c r="Q182" s="710">
        <f t="shared" si="42"/>
        <v>0</v>
      </c>
      <c r="R182" s="711">
        <f t="shared" si="43"/>
        <v>0</v>
      </c>
    </row>
    <row r="183" spans="1:18">
      <c r="C183" s="569" t="s">
        <v>136</v>
      </c>
      <c r="D183" s="706">
        <f>'Import Data'!C29</f>
        <v>0</v>
      </c>
      <c r="E183" s="651">
        <v>5.4</v>
      </c>
      <c r="F183" s="651">
        <v>0.24116000000000001</v>
      </c>
      <c r="G183" s="651">
        <v>3716</v>
      </c>
      <c r="H183" s="651">
        <f t="shared" si="44"/>
        <v>6882.0320000000002</v>
      </c>
      <c r="I183" s="651">
        <v>1.323E-2</v>
      </c>
      <c r="J183" s="684">
        <f t="shared" si="45"/>
        <v>0</v>
      </c>
      <c r="K183" s="493">
        <f t="shared" si="46"/>
        <v>0</v>
      </c>
      <c r="L183" s="706">
        <f>'Import Data'!F29</f>
        <v>0</v>
      </c>
      <c r="M183" s="651">
        <v>5.4</v>
      </c>
      <c r="N183" s="651">
        <v>0.24116000000000001</v>
      </c>
      <c r="O183" s="684">
        <f t="shared" ref="O183:O188" si="49">L183*M183*N183</f>
        <v>0</v>
      </c>
      <c r="P183" s="523">
        <f t="shared" si="48"/>
        <v>0</v>
      </c>
      <c r="Q183" s="710">
        <f t="shared" si="42"/>
        <v>0</v>
      </c>
      <c r="R183" s="711">
        <f t="shared" si="43"/>
        <v>0</v>
      </c>
    </row>
    <row r="184" spans="1:18">
      <c r="C184" s="569" t="s">
        <v>138</v>
      </c>
      <c r="D184" s="706">
        <f>'Import Data'!C30</f>
        <v>0</v>
      </c>
      <c r="E184" s="651">
        <v>5.4</v>
      </c>
      <c r="F184" s="651">
        <v>0.24116000000000001</v>
      </c>
      <c r="G184" s="651">
        <v>3716</v>
      </c>
      <c r="H184" s="651">
        <f t="shared" si="44"/>
        <v>6882.0320000000002</v>
      </c>
      <c r="I184" s="651">
        <v>1.323E-2</v>
      </c>
      <c r="J184" s="684">
        <f t="shared" si="45"/>
        <v>0</v>
      </c>
      <c r="K184" s="493">
        <f t="shared" si="46"/>
        <v>0</v>
      </c>
      <c r="L184" s="706">
        <f>'Import Data'!F30</f>
        <v>0</v>
      </c>
      <c r="M184" s="651">
        <v>5.4</v>
      </c>
      <c r="N184" s="651">
        <v>0.24116000000000001</v>
      </c>
      <c r="O184" s="684">
        <f t="shared" si="49"/>
        <v>0</v>
      </c>
      <c r="P184" s="523">
        <f t="shared" si="48"/>
        <v>0</v>
      </c>
      <c r="Q184" s="710">
        <f t="shared" si="42"/>
        <v>0</v>
      </c>
      <c r="R184" s="711">
        <f t="shared" si="43"/>
        <v>0</v>
      </c>
    </row>
    <row r="185" spans="1:18">
      <c r="C185" s="569" t="s">
        <v>139</v>
      </c>
      <c r="D185" s="706">
        <f>'Import Data'!C31</f>
        <v>0</v>
      </c>
      <c r="E185" s="651">
        <v>5.4</v>
      </c>
      <c r="F185" s="651">
        <v>0.24116000000000001</v>
      </c>
      <c r="G185" s="651">
        <v>3716</v>
      </c>
      <c r="H185" s="651">
        <f t="shared" si="44"/>
        <v>6882.0320000000002</v>
      </c>
      <c r="I185" s="651">
        <v>1.323E-2</v>
      </c>
      <c r="J185" s="684">
        <f t="shared" si="45"/>
        <v>0</v>
      </c>
      <c r="K185" s="493">
        <f t="shared" si="46"/>
        <v>0</v>
      </c>
      <c r="L185" s="706">
        <f>'Import Data'!F31</f>
        <v>0</v>
      </c>
      <c r="M185" s="651">
        <v>5.4</v>
      </c>
      <c r="N185" s="651">
        <v>0.24116000000000001</v>
      </c>
      <c r="O185" s="684">
        <f t="shared" si="49"/>
        <v>0</v>
      </c>
      <c r="P185" s="523">
        <f t="shared" si="48"/>
        <v>0</v>
      </c>
      <c r="Q185" s="710">
        <f t="shared" si="42"/>
        <v>0</v>
      </c>
      <c r="R185" s="711">
        <f t="shared" si="43"/>
        <v>0</v>
      </c>
    </row>
    <row r="186" spans="1:18">
      <c r="C186" s="569" t="s">
        <v>140</v>
      </c>
      <c r="D186" s="706">
        <f>'Import Data'!C32</f>
        <v>0</v>
      </c>
      <c r="E186" s="651">
        <v>5.4</v>
      </c>
      <c r="F186" s="651">
        <v>0.24116000000000001</v>
      </c>
      <c r="G186" s="651">
        <v>3716</v>
      </c>
      <c r="H186" s="651">
        <f t="shared" si="44"/>
        <v>6882.0320000000002</v>
      </c>
      <c r="I186" s="651">
        <v>1.323E-2</v>
      </c>
      <c r="J186" s="684">
        <f t="shared" si="45"/>
        <v>0</v>
      </c>
      <c r="K186" s="493">
        <f t="shared" si="46"/>
        <v>0</v>
      </c>
      <c r="L186" s="706">
        <f>'Import Data'!F32</f>
        <v>0</v>
      </c>
      <c r="M186" s="651">
        <v>5.4</v>
      </c>
      <c r="N186" s="651">
        <v>0.24116000000000001</v>
      </c>
      <c r="O186" s="684">
        <f t="shared" si="49"/>
        <v>0</v>
      </c>
      <c r="P186" s="523">
        <f t="shared" si="48"/>
        <v>0</v>
      </c>
      <c r="Q186" s="710">
        <f t="shared" si="42"/>
        <v>0</v>
      </c>
      <c r="R186" s="711">
        <f t="shared" si="43"/>
        <v>0</v>
      </c>
    </row>
    <row r="187" spans="1:18">
      <c r="C187" s="569" t="s">
        <v>142</v>
      </c>
      <c r="D187" s="706">
        <f>'Import Data'!C33</f>
        <v>0</v>
      </c>
      <c r="E187" s="651">
        <v>5.4</v>
      </c>
      <c r="F187" s="651">
        <v>0.24116000000000001</v>
      </c>
      <c r="G187" s="651">
        <v>3716</v>
      </c>
      <c r="H187" s="651">
        <f t="shared" si="44"/>
        <v>6882.0320000000002</v>
      </c>
      <c r="I187" s="651">
        <v>1.323E-2</v>
      </c>
      <c r="J187" s="684">
        <f t="shared" si="45"/>
        <v>0</v>
      </c>
      <c r="K187" s="493">
        <f t="shared" si="46"/>
        <v>0</v>
      </c>
      <c r="L187" s="706">
        <f>'Import Data'!F33</f>
        <v>0</v>
      </c>
      <c r="M187" s="651">
        <v>5.4</v>
      </c>
      <c r="N187" s="651">
        <v>0.24116000000000001</v>
      </c>
      <c r="O187" s="684">
        <f t="shared" si="49"/>
        <v>0</v>
      </c>
      <c r="P187" s="523">
        <f t="shared" si="48"/>
        <v>0</v>
      </c>
      <c r="Q187" s="710">
        <f t="shared" si="42"/>
        <v>0</v>
      </c>
      <c r="R187" s="711">
        <f t="shared" si="43"/>
        <v>0</v>
      </c>
    </row>
    <row r="188" spans="1:18" ht="15.75" thickBot="1">
      <c r="C188" s="573" t="s">
        <v>144</v>
      </c>
      <c r="D188" s="712">
        <f>'Import Data'!C34</f>
        <v>0</v>
      </c>
      <c r="E188" s="713">
        <v>5.4</v>
      </c>
      <c r="F188" s="713">
        <v>0.24116000000000001</v>
      </c>
      <c r="G188" s="713">
        <v>3716</v>
      </c>
      <c r="H188" s="713">
        <f t="shared" si="44"/>
        <v>6882.0320000000002</v>
      </c>
      <c r="I188" s="713">
        <v>1.323E-2</v>
      </c>
      <c r="J188" s="691">
        <f t="shared" si="45"/>
        <v>0</v>
      </c>
      <c r="K188" s="503">
        <f t="shared" si="46"/>
        <v>0</v>
      </c>
      <c r="L188" s="706">
        <f>'Import Data'!F34</f>
        <v>0</v>
      </c>
      <c r="M188" s="713">
        <v>5.4</v>
      </c>
      <c r="N188" s="713">
        <v>0.24116000000000001</v>
      </c>
      <c r="O188" s="691">
        <f t="shared" si="49"/>
        <v>0</v>
      </c>
      <c r="P188" s="531">
        <f t="shared" si="48"/>
        <v>0</v>
      </c>
      <c r="Q188" s="715">
        <f t="shared" si="42"/>
        <v>0</v>
      </c>
      <c r="R188" s="716">
        <f t="shared" si="43"/>
        <v>0</v>
      </c>
    </row>
    <row r="189" spans="1:18" ht="15.75" thickBot="1"/>
    <row r="190" spans="1:18" ht="15.75" thickBot="1">
      <c r="C190" s="2064" t="s">
        <v>821</v>
      </c>
      <c r="D190" s="2065"/>
      <c r="E190" s="2065"/>
      <c r="F190" s="2065"/>
      <c r="G190" s="2065"/>
      <c r="H190" s="2065"/>
      <c r="I190" s="2065"/>
      <c r="J190" s="2065"/>
      <c r="K190" s="2066"/>
      <c r="L190" s="2067" t="s">
        <v>822</v>
      </c>
      <c r="M190" s="2068"/>
      <c r="N190" s="2068"/>
      <c r="O190" s="2068"/>
      <c r="P190" s="2069"/>
    </row>
    <row r="191" spans="1:18" ht="105.75" thickBot="1">
      <c r="A191" s="880" t="s">
        <v>338</v>
      </c>
      <c r="C191" s="717" t="s">
        <v>121</v>
      </c>
      <c r="D191" s="1321" t="s">
        <v>808</v>
      </c>
      <c r="E191" s="1322" t="s">
        <v>809</v>
      </c>
      <c r="F191" s="1322" t="s">
        <v>823</v>
      </c>
      <c r="G191" s="1322" t="s">
        <v>811</v>
      </c>
      <c r="H191" s="1322" t="s">
        <v>812</v>
      </c>
      <c r="I191" s="1322" t="s">
        <v>824</v>
      </c>
      <c r="J191" s="1323" t="s">
        <v>814</v>
      </c>
      <c r="K191" s="721" t="s">
        <v>815</v>
      </c>
      <c r="L191" s="1327" t="s">
        <v>808</v>
      </c>
      <c r="M191" s="1328" t="s">
        <v>809</v>
      </c>
      <c r="N191" s="1328" t="s">
        <v>816</v>
      </c>
      <c r="O191" s="1329" t="s">
        <v>814</v>
      </c>
      <c r="P191" s="1330" t="s">
        <v>815</v>
      </c>
      <c r="Q191" s="568" t="s">
        <v>817</v>
      </c>
      <c r="R191" s="568" t="s">
        <v>825</v>
      </c>
    </row>
    <row r="192" spans="1:18">
      <c r="A192" s="883" t="s">
        <v>826</v>
      </c>
      <c r="C192" s="529" t="s">
        <v>127</v>
      </c>
      <c r="D192" s="1325">
        <f>'Export Data'!R42</f>
        <v>10.439</v>
      </c>
      <c r="E192" s="495">
        <v>5.4</v>
      </c>
      <c r="F192" s="495">
        <v>0.24116000000000001</v>
      </c>
      <c r="G192" s="1324">
        <v>13496</v>
      </c>
      <c r="H192" s="495">
        <f>G192*1.852</f>
        <v>24994.592000000001</v>
      </c>
      <c r="I192" s="495">
        <v>1.323E-2</v>
      </c>
      <c r="J192" s="1193">
        <f>D192*((E192*F192)+(H192*I192))</f>
        <v>3465.5466959942401</v>
      </c>
      <c r="K192" s="627">
        <f>J192/1000</f>
        <v>3.4655466959942403</v>
      </c>
      <c r="L192" s="1331">
        <f>'Export Data'!R45</f>
        <v>185.32900000000001</v>
      </c>
      <c r="M192" s="495">
        <v>5.4</v>
      </c>
      <c r="N192" s="495">
        <v>0.24116000000000001</v>
      </c>
      <c r="O192" s="1193">
        <f>L192*M192*N192</f>
        <v>241.34728485600004</v>
      </c>
      <c r="P192" s="627">
        <f>O192/1000</f>
        <v>0.24134728485600004</v>
      </c>
      <c r="Q192" s="728">
        <f>P192+K192</f>
        <v>3.7068939808502401</v>
      </c>
      <c r="R192" s="729">
        <f>O192+J192</f>
        <v>3706.89398085024</v>
      </c>
    </row>
    <row r="193" spans="1:18">
      <c r="A193" t="s">
        <v>827</v>
      </c>
      <c r="C193" s="569" t="s">
        <v>128</v>
      </c>
      <c r="D193" s="734">
        <f>'Export Data'!S42</f>
        <v>0</v>
      </c>
      <c r="E193" s="651">
        <v>5.4</v>
      </c>
      <c r="F193" s="651">
        <v>0.24116000000000001</v>
      </c>
      <c r="G193" s="730">
        <v>13496</v>
      </c>
      <c r="H193" s="651">
        <f>G193*1.852</f>
        <v>24994.592000000001</v>
      </c>
      <c r="I193" s="651">
        <v>1.323E-2</v>
      </c>
      <c r="J193" s="684">
        <f>D193*((E193*F193)+(H193*I193))</f>
        <v>0</v>
      </c>
      <c r="K193" s="493">
        <f>J193/1000</f>
        <v>0</v>
      </c>
      <c r="L193" s="731">
        <f>'Export Data'!S45</f>
        <v>0</v>
      </c>
      <c r="M193" s="651">
        <v>5.4</v>
      </c>
      <c r="N193" s="651">
        <v>0.24116000000000001</v>
      </c>
      <c r="O193" s="684">
        <f>L193*M193*N193</f>
        <v>0</v>
      </c>
      <c r="P193" s="493">
        <f>O193/1000</f>
        <v>0</v>
      </c>
      <c r="Q193" s="732">
        <f t="shared" ref="Q193:Q203" si="50">P193+K193</f>
        <v>0</v>
      </c>
      <c r="R193" s="733">
        <f t="shared" ref="R193:R203" si="51">O193+J193</f>
        <v>0</v>
      </c>
    </row>
    <row r="194" spans="1:18">
      <c r="C194" s="569" t="s">
        <v>129</v>
      </c>
      <c r="D194" s="734">
        <f>'Export Data'!T42</f>
        <v>0</v>
      </c>
      <c r="E194" s="651">
        <v>5.4</v>
      </c>
      <c r="F194" s="651">
        <v>0.24116000000000001</v>
      </c>
      <c r="G194" s="730">
        <v>13496</v>
      </c>
      <c r="H194" s="651">
        <f>G194*1.852</f>
        <v>24994.592000000001</v>
      </c>
      <c r="I194" s="651">
        <v>1.323E-2</v>
      </c>
      <c r="J194" s="684">
        <f t="shared" ref="J194:J203" si="52">D194*((E194*F194)+(H194*I194))</f>
        <v>0</v>
      </c>
      <c r="K194" s="493">
        <f>J194/1000</f>
        <v>0</v>
      </c>
      <c r="L194" s="727">
        <f>'Export Data'!T45</f>
        <v>0</v>
      </c>
      <c r="M194" s="651">
        <v>5.4</v>
      </c>
      <c r="N194" s="651">
        <v>0.24116000000000001</v>
      </c>
      <c r="O194" s="684">
        <f>L194*M194*N194</f>
        <v>0</v>
      </c>
      <c r="P194" s="493">
        <f>O194/1000</f>
        <v>0</v>
      </c>
      <c r="Q194" s="732">
        <f t="shared" si="50"/>
        <v>0</v>
      </c>
      <c r="R194" s="733">
        <f t="shared" si="51"/>
        <v>0</v>
      </c>
    </row>
    <row r="195" spans="1:18">
      <c r="C195" s="569" t="s">
        <v>130</v>
      </c>
      <c r="D195" s="734">
        <f>'Export Data'!U42</f>
        <v>0</v>
      </c>
      <c r="E195" s="651">
        <v>5.4</v>
      </c>
      <c r="F195" s="651">
        <v>0.24116000000000001</v>
      </c>
      <c r="G195" s="730">
        <v>13496</v>
      </c>
      <c r="H195" s="651">
        <f t="shared" ref="H195:H203" si="53">G195*1.852</f>
        <v>24994.592000000001</v>
      </c>
      <c r="I195" s="651">
        <v>1.323E-2</v>
      </c>
      <c r="J195" s="684">
        <f t="shared" si="52"/>
        <v>0</v>
      </c>
      <c r="K195" s="493">
        <f t="shared" ref="K195:K203" si="54">J195/1000</f>
        <v>0</v>
      </c>
      <c r="L195" s="727">
        <f>'Export Data'!U45</f>
        <v>0</v>
      </c>
      <c r="M195" s="651">
        <v>5.4</v>
      </c>
      <c r="N195" s="651">
        <v>0.24116000000000001</v>
      </c>
      <c r="O195" s="684">
        <f t="shared" ref="O195:O198" si="55">L195*M195*N195</f>
        <v>0</v>
      </c>
      <c r="P195" s="493">
        <f t="shared" ref="P195:P203" si="56">O195/1000</f>
        <v>0</v>
      </c>
      <c r="Q195" s="732">
        <f t="shared" si="50"/>
        <v>0</v>
      </c>
      <c r="R195" s="735">
        <f t="shared" si="51"/>
        <v>0</v>
      </c>
    </row>
    <row r="196" spans="1:18">
      <c r="C196" s="569" t="s">
        <v>132</v>
      </c>
      <c r="D196" s="734">
        <f>'Export Data'!V42</f>
        <v>0</v>
      </c>
      <c r="E196" s="651">
        <v>5.4</v>
      </c>
      <c r="F196" s="651">
        <v>0.24116000000000001</v>
      </c>
      <c r="G196" s="730">
        <v>13496</v>
      </c>
      <c r="H196" s="651">
        <f t="shared" si="53"/>
        <v>24994.592000000001</v>
      </c>
      <c r="I196" s="651">
        <v>1.323E-2</v>
      </c>
      <c r="J196" s="684">
        <f t="shared" si="52"/>
        <v>0</v>
      </c>
      <c r="K196" s="493">
        <f t="shared" si="54"/>
        <v>0</v>
      </c>
      <c r="L196" s="727">
        <f>'Export Data'!V45</f>
        <v>0</v>
      </c>
      <c r="M196" s="651">
        <v>5.4</v>
      </c>
      <c r="N196" s="651">
        <v>0.24116000000000001</v>
      </c>
      <c r="O196" s="684">
        <f t="shared" si="55"/>
        <v>0</v>
      </c>
      <c r="P196" s="493">
        <f t="shared" si="56"/>
        <v>0</v>
      </c>
      <c r="Q196" s="732">
        <f t="shared" si="50"/>
        <v>0</v>
      </c>
      <c r="R196" s="735">
        <f t="shared" si="51"/>
        <v>0</v>
      </c>
    </row>
    <row r="197" spans="1:18">
      <c r="C197" s="569" t="s">
        <v>134</v>
      </c>
      <c r="D197" s="734">
        <f>'Export Data'!W42</f>
        <v>0</v>
      </c>
      <c r="E197" s="651">
        <v>5.4</v>
      </c>
      <c r="F197" s="651">
        <v>0.24116000000000001</v>
      </c>
      <c r="G197" s="730">
        <v>13496</v>
      </c>
      <c r="H197" s="651">
        <f t="shared" si="53"/>
        <v>24994.592000000001</v>
      </c>
      <c r="I197" s="651">
        <v>1.323E-2</v>
      </c>
      <c r="J197" s="684">
        <f t="shared" si="52"/>
        <v>0</v>
      </c>
      <c r="K197" s="493">
        <f t="shared" si="54"/>
        <v>0</v>
      </c>
      <c r="L197" s="727">
        <f>'Export Data'!W45</f>
        <v>0</v>
      </c>
      <c r="M197" s="651">
        <v>5.4</v>
      </c>
      <c r="N197" s="651">
        <v>0.24116000000000001</v>
      </c>
      <c r="O197" s="684">
        <f t="shared" si="55"/>
        <v>0</v>
      </c>
      <c r="P197" s="493">
        <f t="shared" si="56"/>
        <v>0</v>
      </c>
      <c r="Q197" s="732">
        <f t="shared" si="50"/>
        <v>0</v>
      </c>
      <c r="R197" s="735">
        <f t="shared" si="51"/>
        <v>0</v>
      </c>
    </row>
    <row r="198" spans="1:18">
      <c r="C198" s="569" t="s">
        <v>136</v>
      </c>
      <c r="D198" s="734">
        <f>'Export Data'!X42</f>
        <v>0</v>
      </c>
      <c r="E198" s="651">
        <v>5.4</v>
      </c>
      <c r="F198" s="651">
        <v>0.24116000000000001</v>
      </c>
      <c r="G198" s="730">
        <v>13496</v>
      </c>
      <c r="H198" s="651">
        <f t="shared" si="53"/>
        <v>24994.592000000001</v>
      </c>
      <c r="I198" s="651">
        <v>1.323E-2</v>
      </c>
      <c r="J198" s="684">
        <f t="shared" si="52"/>
        <v>0</v>
      </c>
      <c r="K198" s="493">
        <f t="shared" si="54"/>
        <v>0</v>
      </c>
      <c r="L198" s="736">
        <f>'Export Data'!X45</f>
        <v>0</v>
      </c>
      <c r="M198" s="651">
        <v>5.4</v>
      </c>
      <c r="N198" s="651">
        <v>0.24116000000000001</v>
      </c>
      <c r="O198" s="684">
        <f t="shared" si="55"/>
        <v>0</v>
      </c>
      <c r="P198" s="493">
        <f t="shared" si="56"/>
        <v>0</v>
      </c>
      <c r="Q198" s="732">
        <f t="shared" si="50"/>
        <v>0</v>
      </c>
      <c r="R198" s="735">
        <f t="shared" si="51"/>
        <v>0</v>
      </c>
    </row>
    <row r="199" spans="1:18">
      <c r="C199" s="737" t="s">
        <v>138</v>
      </c>
      <c r="D199" s="734">
        <f>'Export Data'!Y42</f>
        <v>0</v>
      </c>
      <c r="E199" s="651">
        <v>5.4</v>
      </c>
      <c r="F199" s="651">
        <v>0.24116000000000001</v>
      </c>
      <c r="G199" s="730">
        <v>13496</v>
      </c>
      <c r="H199" s="651">
        <f t="shared" si="53"/>
        <v>24994.592000000001</v>
      </c>
      <c r="I199" s="651">
        <v>1.323E-2</v>
      </c>
      <c r="J199" s="684">
        <f t="shared" si="52"/>
        <v>0</v>
      </c>
      <c r="K199" s="493">
        <f t="shared" si="54"/>
        <v>0</v>
      </c>
      <c r="L199" s="736">
        <f>'Export Data'!Y45</f>
        <v>0</v>
      </c>
      <c r="M199" s="651">
        <v>5.4</v>
      </c>
      <c r="N199" s="651">
        <v>0.24116000000000001</v>
      </c>
      <c r="O199" s="684">
        <f>L199*M199*N199</f>
        <v>0</v>
      </c>
      <c r="P199" s="493">
        <f t="shared" si="56"/>
        <v>0</v>
      </c>
      <c r="Q199" s="732">
        <f t="shared" si="50"/>
        <v>0</v>
      </c>
      <c r="R199" s="735">
        <f t="shared" si="51"/>
        <v>0</v>
      </c>
    </row>
    <row r="200" spans="1:18">
      <c r="C200" s="569" t="s">
        <v>139</v>
      </c>
      <c r="D200" s="734">
        <f>'Export Data'!Z42</f>
        <v>0</v>
      </c>
      <c r="E200" s="651">
        <v>5.4</v>
      </c>
      <c r="F200" s="651">
        <v>0.24116000000000001</v>
      </c>
      <c r="G200" s="730">
        <v>13496</v>
      </c>
      <c r="H200" s="651">
        <f t="shared" si="53"/>
        <v>24994.592000000001</v>
      </c>
      <c r="I200" s="651">
        <v>1.323E-2</v>
      </c>
      <c r="J200" s="684">
        <f t="shared" si="52"/>
        <v>0</v>
      </c>
      <c r="K200" s="493">
        <f t="shared" si="54"/>
        <v>0</v>
      </c>
      <c r="L200" s="706">
        <f>'Export Data'!Z45</f>
        <v>0</v>
      </c>
      <c r="M200" s="651">
        <v>5.4</v>
      </c>
      <c r="N200" s="651">
        <v>0.24116000000000001</v>
      </c>
      <c r="O200" s="684">
        <f>L200*M200*N200</f>
        <v>0</v>
      </c>
      <c r="P200" s="493">
        <f t="shared" si="56"/>
        <v>0</v>
      </c>
      <c r="Q200" s="732">
        <f t="shared" si="50"/>
        <v>0</v>
      </c>
      <c r="R200" s="735">
        <f t="shared" si="51"/>
        <v>0</v>
      </c>
    </row>
    <row r="201" spans="1:18">
      <c r="C201" s="569" t="s">
        <v>140</v>
      </c>
      <c r="D201" s="734">
        <f>'Export Data'!AA42</f>
        <v>0</v>
      </c>
      <c r="E201" s="651">
        <v>5.4</v>
      </c>
      <c r="F201" s="651">
        <v>0.24116000000000001</v>
      </c>
      <c r="G201" s="730">
        <v>13496</v>
      </c>
      <c r="H201" s="651">
        <f t="shared" si="53"/>
        <v>24994.592000000001</v>
      </c>
      <c r="I201" s="651">
        <v>1.323E-2</v>
      </c>
      <c r="J201" s="684">
        <f t="shared" si="52"/>
        <v>0</v>
      </c>
      <c r="K201" s="493">
        <f t="shared" si="54"/>
        <v>0</v>
      </c>
      <c r="L201" s="706">
        <f>'Export Data'!AA45</f>
        <v>0</v>
      </c>
      <c r="M201" s="651">
        <v>5.4</v>
      </c>
      <c r="N201" s="651">
        <v>0.24116000000000001</v>
      </c>
      <c r="O201" s="684">
        <f t="shared" ref="O201:O203" si="57">L201*M201*N201</f>
        <v>0</v>
      </c>
      <c r="P201" s="493">
        <f t="shared" si="56"/>
        <v>0</v>
      </c>
      <c r="Q201" s="732">
        <f t="shared" si="50"/>
        <v>0</v>
      </c>
      <c r="R201" s="735">
        <f t="shared" si="51"/>
        <v>0</v>
      </c>
    </row>
    <row r="202" spans="1:18">
      <c r="C202" s="569" t="s">
        <v>142</v>
      </c>
      <c r="D202" s="734">
        <f>'Export Data'!AB42</f>
        <v>0</v>
      </c>
      <c r="E202" s="651">
        <v>5.4</v>
      </c>
      <c r="F202" s="651">
        <v>0.24116000000000001</v>
      </c>
      <c r="G202" s="730">
        <v>13496</v>
      </c>
      <c r="H202" s="651">
        <f t="shared" si="53"/>
        <v>24994.592000000001</v>
      </c>
      <c r="I202" s="651">
        <v>1.323E-2</v>
      </c>
      <c r="J202" s="684">
        <f t="shared" si="52"/>
        <v>0</v>
      </c>
      <c r="K202" s="493">
        <f t="shared" si="54"/>
        <v>0</v>
      </c>
      <c r="L202" s="706">
        <f>'Export Data'!AB45</f>
        <v>0</v>
      </c>
      <c r="M202" s="651">
        <v>5.4</v>
      </c>
      <c r="N202" s="651">
        <v>0.24116000000000001</v>
      </c>
      <c r="O202" s="684">
        <f t="shared" si="57"/>
        <v>0</v>
      </c>
      <c r="P202" s="493">
        <f t="shared" si="56"/>
        <v>0</v>
      </c>
      <c r="Q202" s="732">
        <f t="shared" si="50"/>
        <v>0</v>
      </c>
      <c r="R202" s="735">
        <f t="shared" si="51"/>
        <v>0</v>
      </c>
    </row>
    <row r="203" spans="1:18" ht="15.75" thickBot="1">
      <c r="C203" s="573" t="s">
        <v>144</v>
      </c>
      <c r="D203" s="1326">
        <f>'Export Data'!AC42</f>
        <v>0</v>
      </c>
      <c r="E203" s="713">
        <v>5.4</v>
      </c>
      <c r="F203" s="713">
        <v>0.24116000000000001</v>
      </c>
      <c r="G203" s="738">
        <v>13496</v>
      </c>
      <c r="H203" s="713">
        <f t="shared" si="53"/>
        <v>24994.592000000001</v>
      </c>
      <c r="I203" s="713">
        <v>1.323E-2</v>
      </c>
      <c r="J203" s="691">
        <f t="shared" si="52"/>
        <v>0</v>
      </c>
      <c r="K203" s="503">
        <f t="shared" si="54"/>
        <v>0</v>
      </c>
      <c r="L203" s="712">
        <f>'Export Data'!AC45</f>
        <v>0</v>
      </c>
      <c r="M203" s="713">
        <v>5.4</v>
      </c>
      <c r="N203" s="713">
        <v>0.24116000000000001</v>
      </c>
      <c r="O203" s="691">
        <f t="shared" si="57"/>
        <v>0</v>
      </c>
      <c r="P203" s="503">
        <f t="shared" si="56"/>
        <v>0</v>
      </c>
      <c r="Q203" s="739">
        <f t="shared" si="50"/>
        <v>0</v>
      </c>
      <c r="R203" s="740">
        <f t="shared" si="51"/>
        <v>0</v>
      </c>
    </row>
    <row r="204" spans="1:18">
      <c r="C204" s="508"/>
      <c r="D204" s="665"/>
      <c r="E204" s="665"/>
      <c r="F204" s="665"/>
      <c r="G204" s="741"/>
      <c r="H204" s="665"/>
      <c r="I204" s="665"/>
      <c r="J204" s="665"/>
      <c r="K204" s="665"/>
      <c r="L204" s="665"/>
      <c r="M204" s="665"/>
      <c r="N204" s="665"/>
      <c r="O204" s="665"/>
      <c r="P204" s="665"/>
      <c r="Q204" s="742"/>
    </row>
    <row r="205" spans="1:18" ht="15.75" thickBot="1"/>
    <row r="206" spans="1:18" ht="15.75" thickBot="1">
      <c r="C206" s="2070" t="s">
        <v>828</v>
      </c>
      <c r="D206" s="2071"/>
      <c r="E206" s="2072"/>
    </row>
    <row r="207" spans="1:18" ht="30.75" thickBot="1">
      <c r="C207" s="1334" t="s">
        <v>121</v>
      </c>
      <c r="D207" s="1335" t="s">
        <v>829</v>
      </c>
      <c r="E207" s="604" t="s">
        <v>830</v>
      </c>
    </row>
    <row r="208" spans="1:18">
      <c r="C208" s="642" t="s">
        <v>127</v>
      </c>
      <c r="D208" s="1332">
        <f>E208*1000</f>
        <v>14792.07567973024</v>
      </c>
      <c r="E208" s="1333">
        <f>J117+H132+J147+Q177+Q192+Q162</f>
        <v>14.792075679730241</v>
      </c>
    </row>
    <row r="209" spans="3:5">
      <c r="C209" s="648" t="s">
        <v>128</v>
      </c>
      <c r="D209" s="748">
        <f t="shared" ref="D209:D219" si="58">E209*1000</f>
        <v>0</v>
      </c>
      <c r="E209" s="749">
        <f t="shared" ref="E209:E219" si="59">J118+H133+J148+Q178+Q193+Q163</f>
        <v>0</v>
      </c>
    </row>
    <row r="210" spans="3:5">
      <c r="C210" s="648" t="s">
        <v>129</v>
      </c>
      <c r="D210" s="748">
        <f t="shared" si="58"/>
        <v>0</v>
      </c>
      <c r="E210" s="749">
        <f t="shared" si="59"/>
        <v>0</v>
      </c>
    </row>
    <row r="211" spans="3:5">
      <c r="C211" s="648" t="s">
        <v>130</v>
      </c>
      <c r="D211" s="748">
        <f t="shared" si="58"/>
        <v>0</v>
      </c>
      <c r="E211" s="749">
        <f t="shared" si="59"/>
        <v>0</v>
      </c>
    </row>
    <row r="212" spans="3:5">
      <c r="C212" s="648" t="s">
        <v>132</v>
      </c>
      <c r="D212" s="748">
        <f t="shared" si="58"/>
        <v>0</v>
      </c>
      <c r="E212" s="749">
        <f t="shared" si="59"/>
        <v>0</v>
      </c>
    </row>
    <row r="213" spans="3:5">
      <c r="C213" s="648" t="s">
        <v>134</v>
      </c>
      <c r="D213" s="748">
        <f t="shared" si="58"/>
        <v>0</v>
      </c>
      <c r="E213" s="749">
        <f t="shared" si="59"/>
        <v>0</v>
      </c>
    </row>
    <row r="214" spans="3:5">
      <c r="C214" s="648" t="s">
        <v>136</v>
      </c>
      <c r="D214" s="748">
        <f t="shared" si="58"/>
        <v>0</v>
      </c>
      <c r="E214" s="749">
        <f t="shared" si="59"/>
        <v>0</v>
      </c>
    </row>
    <row r="215" spans="3:5">
      <c r="C215" s="648" t="s">
        <v>138</v>
      </c>
      <c r="D215" s="748">
        <f t="shared" si="58"/>
        <v>0</v>
      </c>
      <c r="E215" s="749">
        <f t="shared" si="59"/>
        <v>0</v>
      </c>
    </row>
    <row r="216" spans="3:5">
      <c r="C216" s="648" t="s">
        <v>139</v>
      </c>
      <c r="D216" s="748">
        <f t="shared" si="58"/>
        <v>0</v>
      </c>
      <c r="E216" s="749">
        <f t="shared" si="59"/>
        <v>0</v>
      </c>
    </row>
    <row r="217" spans="3:5">
      <c r="C217" s="648" t="s">
        <v>140</v>
      </c>
      <c r="D217" s="748">
        <f t="shared" si="58"/>
        <v>0</v>
      </c>
      <c r="E217" s="749">
        <f t="shared" si="59"/>
        <v>0</v>
      </c>
    </row>
    <row r="218" spans="3:5">
      <c r="C218" s="648" t="s">
        <v>142</v>
      </c>
      <c r="D218" s="748">
        <f t="shared" si="58"/>
        <v>0</v>
      </c>
      <c r="E218" s="749">
        <f t="shared" si="59"/>
        <v>0</v>
      </c>
    </row>
    <row r="219" spans="3:5" ht="15.75" thickBot="1">
      <c r="C219" s="659" t="s">
        <v>144</v>
      </c>
      <c r="D219" s="750">
        <f t="shared" si="58"/>
        <v>0</v>
      </c>
      <c r="E219" s="751">
        <f t="shared" si="59"/>
        <v>0</v>
      </c>
    </row>
  </sheetData>
  <mergeCells count="25">
    <mergeCell ref="C2:K2"/>
    <mergeCell ref="C4:J4"/>
    <mergeCell ref="K4:S4"/>
    <mergeCell ref="C19:H19"/>
    <mergeCell ref="J19:K19"/>
    <mergeCell ref="C34:I34"/>
    <mergeCell ref="C49:Q49"/>
    <mergeCell ref="A111:M111"/>
    <mergeCell ref="C113:K113"/>
    <mergeCell ref="C115:J115"/>
    <mergeCell ref="K115:S115"/>
    <mergeCell ref="C64:K64"/>
    <mergeCell ref="L64:P64"/>
    <mergeCell ref="C79:K79"/>
    <mergeCell ref="L79:P79"/>
    <mergeCell ref="C95:E95"/>
    <mergeCell ref="C190:K190"/>
    <mergeCell ref="L190:P190"/>
    <mergeCell ref="C206:E206"/>
    <mergeCell ref="C130:H130"/>
    <mergeCell ref="J130:K130"/>
    <mergeCell ref="C145:I145"/>
    <mergeCell ref="C160:Q160"/>
    <mergeCell ref="C175:K175"/>
    <mergeCell ref="L175:P175"/>
  </mergeCells>
  <pageMargins left="0.7" right="0.7" top="0.75" bottom="0.75" header="0.3" footer="0.3"/>
  <pageSetup orientation="portrait" r:id="rId1"/>
  <drawing r:id="rId2"/>
  <legacy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A84D4-008E-49FF-B99E-833F063825BF}">
  <dimension ref="A1:Z100"/>
  <sheetViews>
    <sheetView workbookViewId="0">
      <pane ySplit="1" topLeftCell="A16" activePane="bottomLeft" state="frozen"/>
      <selection pane="bottomLeft" activeCell="M31" sqref="M31"/>
    </sheetView>
  </sheetViews>
  <sheetFormatPr defaultRowHeight="15"/>
  <cols>
    <col min="1" max="1" width="22" bestFit="1" customWidth="1"/>
    <col min="2" max="2" width="1.5703125" customWidth="1"/>
    <col min="3" max="3" width="10.85546875" bestFit="1" customWidth="1"/>
    <col min="4" max="4" width="14.140625" bestFit="1" customWidth="1"/>
    <col min="5" max="5" width="14.85546875" bestFit="1" customWidth="1"/>
    <col min="6" max="6" width="11.28515625" bestFit="1" customWidth="1"/>
    <col min="7" max="7" width="12.28515625" bestFit="1" customWidth="1"/>
    <col min="8" max="8" width="13.7109375" bestFit="1" customWidth="1"/>
    <col min="9" max="9" width="16.140625" bestFit="1" customWidth="1"/>
    <col min="10" max="10" width="16.140625" customWidth="1"/>
    <col min="11" max="11" width="12" bestFit="1" customWidth="1"/>
    <col min="13" max="13" width="11.5703125" bestFit="1" customWidth="1"/>
    <col min="14" max="14" width="7" bestFit="1" customWidth="1"/>
    <col min="15" max="15" width="9.85546875" bestFit="1" customWidth="1"/>
    <col min="16" max="16" width="10.85546875" bestFit="1" customWidth="1"/>
    <col min="17" max="17" width="7" bestFit="1" customWidth="1"/>
    <col min="18" max="18" width="9" bestFit="1" customWidth="1"/>
    <col min="19" max="19" width="10.5703125" bestFit="1" customWidth="1"/>
    <col min="20" max="20" width="7" bestFit="1" customWidth="1"/>
    <col min="21" max="21" width="9" bestFit="1" customWidth="1"/>
    <col min="22" max="24" width="9" customWidth="1"/>
    <col min="25" max="25" width="9" bestFit="1" customWidth="1"/>
    <col min="26" max="26" width="9.7109375" customWidth="1"/>
  </cols>
  <sheetData>
    <row r="1" spans="1:11" ht="50.1" customHeight="1"/>
    <row r="2" spans="1:11" ht="18.75">
      <c r="C2" s="2057" t="s">
        <v>715</v>
      </c>
      <c r="D2" s="2057"/>
      <c r="E2" s="2057"/>
      <c r="F2" s="2057"/>
      <c r="G2" s="2057"/>
      <c r="H2" s="2057"/>
      <c r="I2" s="2057"/>
      <c r="J2" s="2057"/>
      <c r="K2" s="2057"/>
    </row>
    <row r="3" spans="1:11" ht="15.75" thickBot="1"/>
    <row r="4" spans="1:11" ht="15.75" thickBot="1">
      <c r="C4" s="2058" t="s">
        <v>832</v>
      </c>
      <c r="D4" s="2059"/>
      <c r="E4" s="2059"/>
      <c r="F4" s="2059"/>
      <c r="G4" s="2059"/>
      <c r="H4" s="2059"/>
      <c r="I4" s="2059"/>
      <c r="J4" s="2059"/>
      <c r="K4" s="2060"/>
    </row>
    <row r="5" spans="1:11" ht="45.75" thickBot="1">
      <c r="A5" s="880" t="s">
        <v>338</v>
      </c>
      <c r="C5" s="488" t="s">
        <v>121</v>
      </c>
      <c r="D5" s="752" t="s">
        <v>833</v>
      </c>
      <c r="E5" s="753" t="s">
        <v>834</v>
      </c>
      <c r="F5" s="754" t="s">
        <v>835</v>
      </c>
      <c r="G5" s="753" t="s">
        <v>836</v>
      </c>
      <c r="H5" s="753" t="s">
        <v>753</v>
      </c>
      <c r="I5" s="753" t="s">
        <v>754</v>
      </c>
      <c r="J5" s="755" t="s">
        <v>837</v>
      </c>
      <c r="K5" s="756" t="s">
        <v>838</v>
      </c>
    </row>
    <row r="6" spans="1:11">
      <c r="A6" s="883" t="s">
        <v>839</v>
      </c>
      <c r="C6" s="493" t="s">
        <v>127</v>
      </c>
      <c r="D6" s="757">
        <f>'Cat-2'!G6</f>
        <v>246722.26</v>
      </c>
      <c r="E6" s="651">
        <f t="shared" ref="E6:E17" si="0">D6*0.001</f>
        <v>246.72226000000001</v>
      </c>
      <c r="F6" s="651">
        <v>0.1041</v>
      </c>
      <c r="G6" s="651">
        <f t="shared" ref="G6:G17" si="1">E6*F6</f>
        <v>25.683787266</v>
      </c>
      <c r="H6" s="651">
        <v>0.67</v>
      </c>
      <c r="I6" s="651">
        <f t="shared" ref="I6:I17" si="2">G6*H6</f>
        <v>17.208137468220002</v>
      </c>
      <c r="J6" s="684">
        <f t="shared" ref="J6:J17" si="3">I6*1000</f>
        <v>17208.137468220004</v>
      </c>
      <c r="K6" s="758">
        <f>J6/1000</f>
        <v>17.208137468220006</v>
      </c>
    </row>
    <row r="7" spans="1:11">
      <c r="A7" t="s">
        <v>840</v>
      </c>
      <c r="C7" s="493" t="s">
        <v>128</v>
      </c>
      <c r="D7" s="757">
        <f>'Cat-2'!G7</f>
        <v>223549.04</v>
      </c>
      <c r="E7" s="651">
        <f t="shared" si="0"/>
        <v>223.54904000000002</v>
      </c>
      <c r="F7" s="651">
        <v>0.1041</v>
      </c>
      <c r="G7" s="651">
        <f t="shared" si="1"/>
        <v>23.271455064000001</v>
      </c>
      <c r="H7" s="651">
        <v>0.67</v>
      </c>
      <c r="I7" s="651">
        <f t="shared" si="2"/>
        <v>15.591874892880002</v>
      </c>
      <c r="J7" s="684">
        <f t="shared" si="3"/>
        <v>15591.874892880001</v>
      </c>
      <c r="K7" s="632">
        <f t="shared" ref="K7:K17" si="4">J7/1000</f>
        <v>15.591874892880002</v>
      </c>
    </row>
    <row r="8" spans="1:11">
      <c r="C8" s="493" t="s">
        <v>129</v>
      </c>
      <c r="D8" s="757">
        <f>'Cat-2'!G8</f>
        <v>258273.48</v>
      </c>
      <c r="E8" s="651">
        <f t="shared" si="0"/>
        <v>258.27348000000001</v>
      </c>
      <c r="F8" s="651">
        <v>0.1041</v>
      </c>
      <c r="G8" s="651">
        <f t="shared" si="1"/>
        <v>26.886269267999999</v>
      </c>
      <c r="H8" s="651">
        <v>0.67</v>
      </c>
      <c r="I8" s="651">
        <f t="shared" si="2"/>
        <v>18.013800409560002</v>
      </c>
      <c r="J8" s="684">
        <f t="shared" si="3"/>
        <v>18013.800409560001</v>
      </c>
      <c r="K8" s="632">
        <f t="shared" si="4"/>
        <v>18.013800409560002</v>
      </c>
    </row>
    <row r="9" spans="1:11">
      <c r="C9" s="493" t="s">
        <v>130</v>
      </c>
      <c r="D9" s="757">
        <f>'Cat-2'!G9</f>
        <v>244615.84</v>
      </c>
      <c r="E9" s="651">
        <f t="shared" si="0"/>
        <v>244.61583999999999</v>
      </c>
      <c r="F9" s="651">
        <v>0.1041</v>
      </c>
      <c r="G9" s="651">
        <f t="shared" si="1"/>
        <v>25.464508943999999</v>
      </c>
      <c r="H9" s="651">
        <v>0.67</v>
      </c>
      <c r="I9" s="651">
        <f t="shared" si="2"/>
        <v>17.061220992479999</v>
      </c>
      <c r="J9" s="684">
        <f t="shared" si="3"/>
        <v>17061.220992480001</v>
      </c>
      <c r="K9" s="632">
        <f t="shared" si="4"/>
        <v>17.061220992479999</v>
      </c>
    </row>
    <row r="10" spans="1:11">
      <c r="C10" s="493" t="s">
        <v>132</v>
      </c>
      <c r="D10" s="757">
        <f>'Cat-2'!G10</f>
        <v>329003</v>
      </c>
      <c r="E10" s="651">
        <f t="shared" si="0"/>
        <v>329.00299999999999</v>
      </c>
      <c r="F10" s="651">
        <v>0.1041</v>
      </c>
      <c r="G10" s="651">
        <f t="shared" si="1"/>
        <v>34.249212299999996</v>
      </c>
      <c r="H10" s="651">
        <v>0.67</v>
      </c>
      <c r="I10" s="651">
        <f t="shared" si="2"/>
        <v>22.946972240999997</v>
      </c>
      <c r="J10" s="684">
        <f t="shared" si="3"/>
        <v>22946.972240999996</v>
      </c>
      <c r="K10" s="632">
        <f t="shared" si="4"/>
        <v>22.946972240999997</v>
      </c>
    </row>
    <row r="11" spans="1:11">
      <c r="C11" s="493" t="s">
        <v>134</v>
      </c>
      <c r="D11" s="757">
        <f>'Cat-2'!G11</f>
        <v>294455.52</v>
      </c>
      <c r="E11" s="651">
        <f t="shared" si="0"/>
        <v>294.45552000000004</v>
      </c>
      <c r="F11" s="651">
        <v>0.1041</v>
      </c>
      <c r="G11" s="651">
        <f t="shared" si="1"/>
        <v>30.652819632000003</v>
      </c>
      <c r="H11" s="651">
        <v>0.67</v>
      </c>
      <c r="I11" s="651">
        <f t="shared" si="2"/>
        <v>20.537389153440003</v>
      </c>
      <c r="J11" s="684">
        <f t="shared" si="3"/>
        <v>20537.389153440003</v>
      </c>
      <c r="K11" s="632">
        <f t="shared" si="4"/>
        <v>20.537389153440003</v>
      </c>
    </row>
    <row r="12" spans="1:11">
      <c r="C12" s="493" t="s">
        <v>136</v>
      </c>
      <c r="D12" s="757">
        <f>'Cat-2'!G12</f>
        <v>274040.66000000003</v>
      </c>
      <c r="E12" s="651">
        <f t="shared" si="0"/>
        <v>274.04066000000006</v>
      </c>
      <c r="F12" s="651">
        <v>0.1041</v>
      </c>
      <c r="G12" s="651">
        <f t="shared" si="1"/>
        <v>28.527632706000006</v>
      </c>
      <c r="H12" s="651">
        <v>0.67</v>
      </c>
      <c r="I12" s="651">
        <f t="shared" si="2"/>
        <v>19.113513913020004</v>
      </c>
      <c r="J12" s="684">
        <f t="shared" si="3"/>
        <v>19113.513913020004</v>
      </c>
      <c r="K12" s="632">
        <f t="shared" si="4"/>
        <v>19.113513913020004</v>
      </c>
    </row>
    <row r="13" spans="1:11">
      <c r="C13" s="493" t="s">
        <v>138</v>
      </c>
      <c r="D13" s="757">
        <f>'Cat-2'!G13</f>
        <v>279685.06</v>
      </c>
      <c r="E13" s="651">
        <f t="shared" si="0"/>
        <v>279.68506000000002</v>
      </c>
      <c r="F13" s="651">
        <v>0.1041</v>
      </c>
      <c r="G13" s="651">
        <f t="shared" si="1"/>
        <v>29.115214746000003</v>
      </c>
      <c r="H13" s="651">
        <v>0.67</v>
      </c>
      <c r="I13" s="651">
        <f t="shared" si="2"/>
        <v>19.507193879820004</v>
      </c>
      <c r="J13" s="684">
        <f t="shared" si="3"/>
        <v>19507.193879820003</v>
      </c>
      <c r="K13" s="632">
        <f t="shared" si="4"/>
        <v>19.507193879820001</v>
      </c>
    </row>
    <row r="14" spans="1:11">
      <c r="C14" s="493" t="s">
        <v>139</v>
      </c>
      <c r="D14" s="757">
        <f>'Cat-2'!G14</f>
        <v>274144.59999999998</v>
      </c>
      <c r="E14" s="651">
        <f t="shared" si="0"/>
        <v>274.14459999999997</v>
      </c>
      <c r="F14" s="651">
        <v>0.1041</v>
      </c>
      <c r="G14" s="651">
        <f t="shared" si="1"/>
        <v>28.538452859999996</v>
      </c>
      <c r="H14" s="651">
        <v>0.67</v>
      </c>
      <c r="I14" s="651">
        <f t="shared" si="2"/>
        <v>19.120763416199999</v>
      </c>
      <c r="J14" s="684">
        <f t="shared" si="3"/>
        <v>19120.763416199999</v>
      </c>
      <c r="K14" s="632">
        <f t="shared" si="4"/>
        <v>19.120763416199999</v>
      </c>
    </row>
    <row r="15" spans="1:11">
      <c r="C15" s="493" t="s">
        <v>140</v>
      </c>
      <c r="D15" s="757">
        <f>'Cat-2'!G15</f>
        <v>298340.08</v>
      </c>
      <c r="E15" s="651">
        <f t="shared" si="0"/>
        <v>298.34008</v>
      </c>
      <c r="F15" s="651">
        <v>0.1041</v>
      </c>
      <c r="G15" s="651">
        <f t="shared" si="1"/>
        <v>31.057202327999999</v>
      </c>
      <c r="H15" s="651">
        <v>0.67</v>
      </c>
      <c r="I15" s="651">
        <f t="shared" si="2"/>
        <v>20.80832555976</v>
      </c>
      <c r="J15" s="684">
        <f t="shared" si="3"/>
        <v>20808.32555976</v>
      </c>
      <c r="K15" s="632">
        <f t="shared" si="4"/>
        <v>20.80832555976</v>
      </c>
    </row>
    <row r="16" spans="1:11">
      <c r="C16" s="493" t="s">
        <v>142</v>
      </c>
      <c r="D16" s="757">
        <f>'Cat-2'!G16</f>
        <v>284624.78000000003</v>
      </c>
      <c r="E16" s="651">
        <f t="shared" si="0"/>
        <v>284.62478000000004</v>
      </c>
      <c r="F16" s="651">
        <v>0.1041</v>
      </c>
      <c r="G16" s="651">
        <f t="shared" si="1"/>
        <v>29.629439598000005</v>
      </c>
      <c r="H16" s="651">
        <v>0.67</v>
      </c>
      <c r="I16" s="651">
        <f t="shared" si="2"/>
        <v>19.851724530660004</v>
      </c>
      <c r="J16" s="684">
        <f t="shared" si="3"/>
        <v>19851.724530660005</v>
      </c>
      <c r="K16" s="632">
        <f t="shared" si="4"/>
        <v>19.851724530660004</v>
      </c>
    </row>
    <row r="17" spans="1:26" ht="15.75" thickBot="1">
      <c r="C17" s="503" t="s">
        <v>144</v>
      </c>
      <c r="D17" s="759">
        <f>'Cat-2'!G17</f>
        <v>225260</v>
      </c>
      <c r="E17" s="713">
        <f t="shared" si="0"/>
        <v>225.26</v>
      </c>
      <c r="F17" s="713">
        <v>0.1041</v>
      </c>
      <c r="G17" s="713">
        <f t="shared" si="1"/>
        <v>23.449565999999997</v>
      </c>
      <c r="H17" s="713">
        <v>0.67</v>
      </c>
      <c r="I17" s="713">
        <f t="shared" si="2"/>
        <v>15.711209219999999</v>
      </c>
      <c r="J17" s="691">
        <f t="shared" si="3"/>
        <v>15711.209219999999</v>
      </c>
      <c r="K17" s="634">
        <f t="shared" si="4"/>
        <v>15.711209219999999</v>
      </c>
    </row>
    <row r="18" spans="1:26" ht="15.75" thickBot="1">
      <c r="C18" s="665"/>
      <c r="D18" s="760"/>
      <c r="E18" s="665"/>
      <c r="F18" s="665"/>
      <c r="G18" s="665"/>
      <c r="H18" s="665"/>
      <c r="I18" s="665"/>
      <c r="J18" s="665"/>
    </row>
    <row r="19" spans="1:26" ht="19.5" thickBot="1">
      <c r="C19" s="2091" t="s">
        <v>841</v>
      </c>
      <c r="D19" s="2092"/>
      <c r="E19" s="2092"/>
      <c r="F19" s="2092"/>
      <c r="G19" s="2092"/>
      <c r="H19" s="2092"/>
      <c r="I19" s="2092"/>
      <c r="J19" s="2092"/>
      <c r="K19" s="2092"/>
      <c r="L19" s="2092"/>
      <c r="M19" s="2092"/>
      <c r="N19" s="2092"/>
      <c r="O19" s="2092"/>
      <c r="P19" s="2092"/>
      <c r="Q19" s="2092"/>
      <c r="R19" s="2092"/>
      <c r="S19" s="2092"/>
      <c r="T19" s="2092"/>
      <c r="U19" s="2092"/>
      <c r="V19" s="2093"/>
      <c r="W19" s="2093"/>
      <c r="X19" s="2093"/>
      <c r="Y19" s="2092"/>
      <c r="Z19" s="2094"/>
    </row>
    <row r="20" spans="1:26" ht="30.75" thickBot="1">
      <c r="A20" s="880" t="s">
        <v>338</v>
      </c>
      <c r="C20" s="761" t="s">
        <v>121</v>
      </c>
      <c r="D20" s="762" t="s">
        <v>842</v>
      </c>
      <c r="E20" s="763" t="s">
        <v>843</v>
      </c>
      <c r="F20" s="764" t="s">
        <v>844</v>
      </c>
      <c r="G20" s="762" t="s">
        <v>845</v>
      </c>
      <c r="H20" s="763" t="s">
        <v>843</v>
      </c>
      <c r="I20" s="764" t="s">
        <v>846</v>
      </c>
      <c r="J20" s="762" t="s">
        <v>847</v>
      </c>
      <c r="K20" s="763" t="s">
        <v>843</v>
      </c>
      <c r="L20" s="764" t="s">
        <v>848</v>
      </c>
      <c r="M20" s="762" t="s">
        <v>849</v>
      </c>
      <c r="N20" s="763" t="s">
        <v>843</v>
      </c>
      <c r="O20" s="764" t="s">
        <v>850</v>
      </c>
      <c r="P20" s="762" t="s">
        <v>851</v>
      </c>
      <c r="Q20" s="763" t="s">
        <v>843</v>
      </c>
      <c r="R20" s="764" t="s">
        <v>852</v>
      </c>
      <c r="S20" s="762" t="s">
        <v>853</v>
      </c>
      <c r="T20" s="763" t="s">
        <v>843</v>
      </c>
      <c r="U20" s="765" t="s">
        <v>854</v>
      </c>
      <c r="V20" s="766" t="s">
        <v>855</v>
      </c>
      <c r="W20" s="767" t="s">
        <v>843</v>
      </c>
      <c r="X20" s="768" t="s">
        <v>856</v>
      </c>
      <c r="Y20" s="769" t="s">
        <v>857</v>
      </c>
      <c r="Z20" s="770" t="s">
        <v>858</v>
      </c>
    </row>
    <row r="21" spans="1:26">
      <c r="A21" t="s">
        <v>859</v>
      </c>
      <c r="C21" s="672" t="s">
        <v>278</v>
      </c>
      <c r="D21" s="771">
        <f>'Segregated wastage'!D7</f>
        <v>5979.5</v>
      </c>
      <c r="E21" s="772">
        <v>1.0417849725927271</v>
      </c>
      <c r="F21" s="773">
        <f>D21*E21</f>
        <v>6229.3532436182113</v>
      </c>
      <c r="G21" s="771">
        <f>'Segregated wastage'!E7</f>
        <v>5040</v>
      </c>
      <c r="H21" s="774">
        <v>8.8832713178294571E-3</v>
      </c>
      <c r="I21" s="773">
        <f>G21*H21</f>
        <v>44.771687441860465</v>
      </c>
      <c r="J21" s="771">
        <f>'Segregated wastage'!F7</f>
        <v>6411.8</v>
      </c>
      <c r="K21" s="774">
        <v>8.8832713178294553E-3</v>
      </c>
      <c r="L21" s="773">
        <f>J21*K21</f>
        <v>56.957759035658903</v>
      </c>
      <c r="M21" s="771">
        <f>'Segregated wastage'!G7</f>
        <v>8853.2999999999993</v>
      </c>
      <c r="N21" s="775">
        <v>0.44492468571678928</v>
      </c>
      <c r="O21" s="773">
        <f>M21*N21</f>
        <v>3939.05172005645</v>
      </c>
      <c r="P21" s="771">
        <f>'Segregated wastage'!H7</f>
        <v>0</v>
      </c>
      <c r="Q21" s="775">
        <v>0.82801354454406162</v>
      </c>
      <c r="R21" s="773">
        <f>P21*Q21</f>
        <v>0</v>
      </c>
      <c r="S21" s="776">
        <f>'Segregated wastage'!I7</f>
        <v>9000</v>
      </c>
      <c r="T21" s="777">
        <v>0.46700799999999998</v>
      </c>
      <c r="U21" s="778">
        <f>S21*T21</f>
        <v>4203.0720000000001</v>
      </c>
      <c r="V21" s="779">
        <f>'Segregated wastage'!Q7</f>
        <v>373</v>
      </c>
      <c r="W21" s="780">
        <v>0.62685614522394484</v>
      </c>
      <c r="X21" s="781">
        <f>V21*W21</f>
        <v>233.81734216853141</v>
      </c>
      <c r="Y21" s="782">
        <f>U21+R21+O21+L21+I21+F21+X21</f>
        <v>14707.023752320711</v>
      </c>
      <c r="Z21" s="783">
        <f>Y21/1000</f>
        <v>14.70702375232071</v>
      </c>
    </row>
    <row r="22" spans="1:26">
      <c r="C22" s="493" t="s">
        <v>279</v>
      </c>
      <c r="D22" s="771">
        <f>'Segregated wastage'!D8</f>
        <v>4480.1000000000004</v>
      </c>
      <c r="E22" s="784">
        <v>1.0417849725927271</v>
      </c>
      <c r="F22" s="785">
        <f t="shared" ref="F22:F32" si="5">D22*E22</f>
        <v>4667.3008557126768</v>
      </c>
      <c r="G22" s="771">
        <f>'Segregated wastage'!E8</f>
        <v>2156.6999999999998</v>
      </c>
      <c r="H22" s="786">
        <v>8.8832713178294571E-3</v>
      </c>
      <c r="I22" s="785">
        <f t="shared" ref="I22:I32" si="6">G22*H22</f>
        <v>19.158551251162788</v>
      </c>
      <c r="J22" s="771">
        <f>'Segregated wastage'!F8</f>
        <v>3640</v>
      </c>
      <c r="K22" s="786">
        <v>8.8832713178294553E-3</v>
      </c>
      <c r="L22" s="785">
        <f t="shared" ref="L22:L32" si="7">J22*K22</f>
        <v>32.335107596899221</v>
      </c>
      <c r="M22" s="771">
        <f>'Segregated wastage'!G8</f>
        <v>9500</v>
      </c>
      <c r="N22" s="787">
        <v>0.44492468571678928</v>
      </c>
      <c r="O22" s="785">
        <f t="shared" ref="O22:O32" si="8">M22*N22</f>
        <v>4226.7845143094983</v>
      </c>
      <c r="P22" s="771">
        <f>'Segregated wastage'!H8</f>
        <v>2199.6</v>
      </c>
      <c r="Q22" s="787">
        <v>0.82801354454406162</v>
      </c>
      <c r="R22" s="785">
        <f t="shared" ref="R22:R32" si="9">P22*Q22</f>
        <v>1821.2985925791179</v>
      </c>
      <c r="S22" s="776">
        <f>'Segregated wastage'!I8</f>
        <v>9000</v>
      </c>
      <c r="T22" s="789">
        <v>0.46700799999999998</v>
      </c>
      <c r="U22" s="790">
        <f t="shared" ref="U22:U32" si="10">S22*T22</f>
        <v>4203.0720000000001</v>
      </c>
      <c r="V22" s="791">
        <f>'Segregated wastage'!Q8</f>
        <v>218</v>
      </c>
      <c r="W22" s="789">
        <v>0.62685614522394484</v>
      </c>
      <c r="X22" s="792">
        <f>V22*W22</f>
        <v>136.65463965881997</v>
      </c>
      <c r="Y22" s="782">
        <f t="shared" ref="Y22:Y32" si="11">U22+R22+O22+L22+I22+F22+X22</f>
        <v>15106.604261108176</v>
      </c>
      <c r="Z22" s="793">
        <f t="shared" ref="Z22:Z32" si="12">Y22/1000</f>
        <v>15.106604261108176</v>
      </c>
    </row>
    <row r="23" spans="1:26">
      <c r="C23" s="493" t="s">
        <v>280</v>
      </c>
      <c r="D23" s="771">
        <f>'Segregated wastage'!D9</f>
        <v>3473.7</v>
      </c>
      <c r="E23" s="784">
        <v>1.0417849725927271</v>
      </c>
      <c r="F23" s="785">
        <f t="shared" si="5"/>
        <v>3618.848459295356</v>
      </c>
      <c r="G23" s="771">
        <f>'Segregated wastage'!E9</f>
        <v>6853.8</v>
      </c>
      <c r="H23" s="786">
        <v>8.8832713178294571E-3</v>
      </c>
      <c r="I23" s="785">
        <f t="shared" si="6"/>
        <v>60.884164958139536</v>
      </c>
      <c r="J23" s="771">
        <f>'Segregated wastage'!F9</f>
        <v>1904</v>
      </c>
      <c r="K23" s="786">
        <v>8.8832713178294553E-3</v>
      </c>
      <c r="L23" s="785">
        <f t="shared" si="7"/>
        <v>16.913748589147282</v>
      </c>
      <c r="M23" s="771">
        <f>'Segregated wastage'!G9</f>
        <v>7998.3</v>
      </c>
      <c r="N23" s="787">
        <v>0.44492468571678928</v>
      </c>
      <c r="O23" s="785">
        <f t="shared" si="8"/>
        <v>3558.6411137685959</v>
      </c>
      <c r="P23" s="771">
        <f>'Segregated wastage'!H9</f>
        <v>1800</v>
      </c>
      <c r="Q23" s="787">
        <v>0.82801354454406162</v>
      </c>
      <c r="R23" s="785">
        <f t="shared" si="9"/>
        <v>1490.4243801793109</v>
      </c>
      <c r="S23" s="776">
        <f>'Segregated wastage'!I9</f>
        <v>12528</v>
      </c>
      <c r="T23" s="789">
        <v>0.46700799999999998</v>
      </c>
      <c r="U23" s="790">
        <f t="shared" si="10"/>
        <v>5850.6762239999998</v>
      </c>
      <c r="V23" s="791">
        <f>'Segregated wastage'!Q9</f>
        <v>158</v>
      </c>
      <c r="W23" s="789">
        <v>0.62685614522394484</v>
      </c>
      <c r="X23" s="792">
        <f t="shared" ref="X23:X31" si="13">V23*W23</f>
        <v>99.043270945383284</v>
      </c>
      <c r="Y23" s="782">
        <f t="shared" si="11"/>
        <v>14695.431361735933</v>
      </c>
      <c r="Z23" s="793">
        <f t="shared" si="12"/>
        <v>14.695431361735933</v>
      </c>
    </row>
    <row r="24" spans="1:26">
      <c r="C24" s="493" t="s">
        <v>281</v>
      </c>
      <c r="D24" s="771">
        <f>'Segregated wastage'!D10</f>
        <v>4894</v>
      </c>
      <c r="E24" s="784">
        <v>1.0417849725927271</v>
      </c>
      <c r="F24" s="785">
        <f t="shared" si="5"/>
        <v>5098.4956558688064</v>
      </c>
      <c r="G24" s="771">
        <f>'Segregated wastage'!E10</f>
        <v>6771.8</v>
      </c>
      <c r="H24" s="786">
        <v>8.8832713178294571E-3</v>
      </c>
      <c r="I24" s="785">
        <f t="shared" si="6"/>
        <v>60.15573671007752</v>
      </c>
      <c r="J24" s="771">
        <f>'Segregated wastage'!F10</f>
        <v>8276</v>
      </c>
      <c r="K24" s="786">
        <v>8.8832713178294553E-3</v>
      </c>
      <c r="L24" s="785">
        <f t="shared" si="7"/>
        <v>73.51795342635657</v>
      </c>
      <c r="M24" s="771">
        <f>'Segregated wastage'!G10</f>
        <v>8001</v>
      </c>
      <c r="N24" s="787">
        <v>0.44492468571678928</v>
      </c>
      <c r="O24" s="785">
        <f t="shared" si="8"/>
        <v>3559.8424104200312</v>
      </c>
      <c r="P24" s="771">
        <f>'Segregated wastage'!H10</f>
        <v>1400</v>
      </c>
      <c r="Q24" s="787">
        <v>0.82801354454406162</v>
      </c>
      <c r="R24" s="785">
        <f t="shared" si="9"/>
        <v>1159.2189623616862</v>
      </c>
      <c r="S24" s="776">
        <f>'Segregated wastage'!I10</f>
        <v>17030</v>
      </c>
      <c r="T24" s="789">
        <v>0.46700799999999998</v>
      </c>
      <c r="U24" s="790">
        <f t="shared" si="10"/>
        <v>7953.14624</v>
      </c>
      <c r="V24" s="791">
        <f>'Segregated wastage'!Q10</f>
        <v>97</v>
      </c>
      <c r="W24" s="789">
        <v>0.62685614522394484</v>
      </c>
      <c r="X24" s="792">
        <f t="shared" si="13"/>
        <v>60.805046086722648</v>
      </c>
      <c r="Y24" s="782">
        <f t="shared" si="11"/>
        <v>17965.182004873684</v>
      </c>
      <c r="Z24" s="793">
        <f t="shared" si="12"/>
        <v>17.965182004873686</v>
      </c>
    </row>
    <row r="25" spans="1:26">
      <c r="C25" s="493" t="s">
        <v>132</v>
      </c>
      <c r="D25" s="771">
        <f>'Segregated wastage'!D11</f>
        <v>3993.5</v>
      </c>
      <c r="E25" s="784">
        <v>1.0417849725927271</v>
      </c>
      <c r="F25" s="785">
        <f t="shared" si="5"/>
        <v>4160.3682880490551</v>
      </c>
      <c r="G25" s="771">
        <f>'Segregated wastage'!E11</f>
        <v>4920.3999999999996</v>
      </c>
      <c r="H25" s="786">
        <v>8.8832713178294571E-3</v>
      </c>
      <c r="I25" s="785">
        <f t="shared" si="6"/>
        <v>43.709248192248054</v>
      </c>
      <c r="J25" s="771">
        <f>'Segregated wastage'!F11</f>
        <v>6730.4</v>
      </c>
      <c r="K25" s="786">
        <v>8.8832713178294553E-3</v>
      </c>
      <c r="L25" s="785">
        <f t="shared" si="7"/>
        <v>59.787969277519366</v>
      </c>
      <c r="M25" s="771">
        <f>'Segregated wastage'!G11</f>
        <v>8994.6</v>
      </c>
      <c r="N25" s="787">
        <v>0.44492468571678928</v>
      </c>
      <c r="O25" s="785">
        <f t="shared" si="8"/>
        <v>4001.9195781482331</v>
      </c>
      <c r="P25" s="771">
        <f>'Segregated wastage'!H11</f>
        <v>2200</v>
      </c>
      <c r="Q25" s="787">
        <v>0.82801354454406162</v>
      </c>
      <c r="R25" s="785">
        <f t="shared" si="9"/>
        <v>1821.6297979969356</v>
      </c>
      <c r="S25" s="776">
        <f>'Segregated wastage'!I11</f>
        <v>13882</v>
      </c>
      <c r="T25" s="789">
        <v>0.46700799999999998</v>
      </c>
      <c r="U25" s="790">
        <f t="shared" si="10"/>
        <v>6483.005056</v>
      </c>
      <c r="V25" s="791">
        <f>'Segregated wastage'!Q11</f>
        <v>255</v>
      </c>
      <c r="W25" s="789">
        <v>0.62685614522394484</v>
      </c>
      <c r="X25" s="792">
        <f t="shared" si="13"/>
        <v>159.84831703210594</v>
      </c>
      <c r="Y25" s="782">
        <f t="shared" si="11"/>
        <v>16730.268254696093</v>
      </c>
      <c r="Z25" s="793">
        <f t="shared" si="12"/>
        <v>16.730268254696092</v>
      </c>
    </row>
    <row r="26" spans="1:26">
      <c r="C26" s="493" t="s">
        <v>282</v>
      </c>
      <c r="D26" s="771">
        <f>'Segregated wastage'!D12</f>
        <v>4202</v>
      </c>
      <c r="E26" s="784">
        <v>1.0417849725927271</v>
      </c>
      <c r="F26" s="785">
        <f t="shared" si="5"/>
        <v>4377.5804548346396</v>
      </c>
      <c r="G26" s="771">
        <f>'Segregated wastage'!E12</f>
        <v>2390.1</v>
      </c>
      <c r="H26" s="786">
        <v>8.8832713178294571E-3</v>
      </c>
      <c r="I26" s="785">
        <f t="shared" si="6"/>
        <v>21.231906776744186</v>
      </c>
      <c r="J26" s="771">
        <f>'Segregated wastage'!F12</f>
        <v>3616</v>
      </c>
      <c r="K26" s="786">
        <v>8.8832713178294553E-3</v>
      </c>
      <c r="L26" s="785">
        <f t="shared" si="7"/>
        <v>32.121909085271312</v>
      </c>
      <c r="M26" s="771">
        <f>'Segregated wastage'!G12</f>
        <v>17992</v>
      </c>
      <c r="N26" s="787">
        <v>0.44492468571678928</v>
      </c>
      <c r="O26" s="785">
        <f t="shared" si="8"/>
        <v>8005.0849454164727</v>
      </c>
      <c r="P26" s="771">
        <f>'Segregated wastage'!H12</f>
        <v>2496</v>
      </c>
      <c r="Q26" s="787">
        <v>0.82801354454406162</v>
      </c>
      <c r="R26" s="785">
        <f t="shared" si="9"/>
        <v>2066.721807181978</v>
      </c>
      <c r="S26" s="776">
        <f>'Segregated wastage'!I12</f>
        <v>24850</v>
      </c>
      <c r="T26" s="789">
        <v>0.46700799999999998</v>
      </c>
      <c r="U26" s="790">
        <f t="shared" si="10"/>
        <v>11605.148799999999</v>
      </c>
      <c r="V26" s="791">
        <f>'Segregated wastage'!Q12</f>
        <v>232</v>
      </c>
      <c r="W26" s="789">
        <v>0.62685614522394484</v>
      </c>
      <c r="X26" s="792">
        <f t="shared" si="13"/>
        <v>145.43062569195521</v>
      </c>
      <c r="Y26" s="782">
        <f t="shared" si="11"/>
        <v>26253.320448987059</v>
      </c>
      <c r="Z26" s="793">
        <f t="shared" si="12"/>
        <v>26.253320448987058</v>
      </c>
    </row>
    <row r="27" spans="1:26">
      <c r="C27" s="493" t="s">
        <v>283</v>
      </c>
      <c r="D27" s="771">
        <f>'Segregated wastage'!D13</f>
        <v>4500.6000000000004</v>
      </c>
      <c r="E27" s="784">
        <v>1.0417849725927271</v>
      </c>
      <c r="F27" s="785">
        <f t="shared" si="5"/>
        <v>4688.6574476508276</v>
      </c>
      <c r="G27" s="771">
        <f>'Segregated wastage'!E13</f>
        <v>1196.9000000000001</v>
      </c>
      <c r="H27" s="786">
        <v>8.8832713178294571E-3</v>
      </c>
      <c r="I27" s="785">
        <f t="shared" si="6"/>
        <v>10.632387440310078</v>
      </c>
      <c r="J27" s="771">
        <f>'Segregated wastage'!F13</f>
        <v>4160</v>
      </c>
      <c r="K27" s="786">
        <v>8.8832713178294553E-3</v>
      </c>
      <c r="L27" s="785">
        <f t="shared" si="7"/>
        <v>36.954408682170538</v>
      </c>
      <c r="M27" s="771">
        <f>'Segregated wastage'!G13</f>
        <v>9100.1</v>
      </c>
      <c r="N27" s="787">
        <v>0.44492468571678928</v>
      </c>
      <c r="O27" s="785">
        <f t="shared" si="8"/>
        <v>4048.8591324913541</v>
      </c>
      <c r="P27" s="771">
        <f>'Segregated wastage'!H13</f>
        <v>2400</v>
      </c>
      <c r="Q27" s="787">
        <v>0.82801354454406162</v>
      </c>
      <c r="R27" s="785">
        <f t="shared" si="9"/>
        <v>1987.2325069057479</v>
      </c>
      <c r="S27" s="776">
        <f>'Segregated wastage'!I13</f>
        <v>22966</v>
      </c>
      <c r="T27" s="789">
        <v>0.46700799999999998</v>
      </c>
      <c r="U27" s="790">
        <f t="shared" si="10"/>
        <v>10725.305727999999</v>
      </c>
      <c r="V27" s="791">
        <f>'Segregated wastage'!Q13</f>
        <v>300</v>
      </c>
      <c r="W27" s="789">
        <v>0.62685614522394484</v>
      </c>
      <c r="X27" s="792">
        <f t="shared" si="13"/>
        <v>188.05684356718345</v>
      </c>
      <c r="Y27" s="782">
        <f t="shared" si="11"/>
        <v>21685.698454737594</v>
      </c>
      <c r="Z27" s="793">
        <f t="shared" si="12"/>
        <v>21.685698454737594</v>
      </c>
    </row>
    <row r="28" spans="1:26">
      <c r="C28" s="493" t="s">
        <v>284</v>
      </c>
      <c r="D28" s="771">
        <f>'Segregated wastage'!D14</f>
        <v>5597.2000000000007</v>
      </c>
      <c r="E28" s="784">
        <v>1.0417849725927271</v>
      </c>
      <c r="F28" s="785">
        <f t="shared" si="5"/>
        <v>5831.0788485960129</v>
      </c>
      <c r="G28" s="771">
        <f>'Segregated wastage'!E14</f>
        <v>1387.1999999999998</v>
      </c>
      <c r="H28" s="786">
        <v>8.8832713178294571E-3</v>
      </c>
      <c r="I28" s="785">
        <f t="shared" si="6"/>
        <v>12.322873972093021</v>
      </c>
      <c r="J28" s="771">
        <f>'Segregated wastage'!F14</f>
        <v>3728</v>
      </c>
      <c r="K28" s="786">
        <v>8.8832713178294553E-3</v>
      </c>
      <c r="L28" s="785">
        <f t="shared" si="7"/>
        <v>33.11683547286821</v>
      </c>
      <c r="M28" s="771">
        <f>'Segregated wastage'!G14</f>
        <v>18013.599999999999</v>
      </c>
      <c r="N28" s="787">
        <v>0.44492468571678928</v>
      </c>
      <c r="O28" s="785">
        <f t="shared" si="8"/>
        <v>8014.6953186279543</v>
      </c>
      <c r="P28" s="771">
        <f>'Segregated wastage'!H14</f>
        <v>2499.1999999999998</v>
      </c>
      <c r="Q28" s="787">
        <v>0.82801354454406162</v>
      </c>
      <c r="R28" s="785">
        <f t="shared" si="9"/>
        <v>2069.3714505245184</v>
      </c>
      <c r="S28" s="776">
        <f>'Segregated wastage'!I14</f>
        <v>22606</v>
      </c>
      <c r="T28" s="789">
        <v>0.46700799999999998</v>
      </c>
      <c r="U28" s="790">
        <f t="shared" si="10"/>
        <v>10557.182848</v>
      </c>
      <c r="V28" s="791">
        <f>'Segregated wastage'!Q14</f>
        <v>274</v>
      </c>
      <c r="W28" s="789">
        <v>0.62685614522394484</v>
      </c>
      <c r="X28" s="792">
        <f t="shared" si="13"/>
        <v>171.75858379136088</v>
      </c>
      <c r="Y28" s="782">
        <f t="shared" si="11"/>
        <v>26689.526758984812</v>
      </c>
      <c r="Z28" s="793">
        <f t="shared" si="12"/>
        <v>26.689526758984812</v>
      </c>
    </row>
    <row r="29" spans="1:26">
      <c r="C29" s="493" t="s">
        <v>285</v>
      </c>
      <c r="D29" s="771">
        <f>'Segregated wastage'!D15</f>
        <v>3991</v>
      </c>
      <c r="E29" s="784">
        <v>1.0417849725927271</v>
      </c>
      <c r="F29" s="785">
        <f t="shared" si="5"/>
        <v>4157.7638256175733</v>
      </c>
      <c r="G29" s="771">
        <f>'Segregated wastage'!E15</f>
        <v>0</v>
      </c>
      <c r="H29" s="786">
        <v>8.8832713178294571E-3</v>
      </c>
      <c r="I29" s="785">
        <f t="shared" si="6"/>
        <v>0</v>
      </c>
      <c r="J29" s="771">
        <f>'Segregated wastage'!F15</f>
        <v>3808</v>
      </c>
      <c r="K29" s="786">
        <v>8.8832713178294553E-3</v>
      </c>
      <c r="L29" s="785">
        <f t="shared" si="7"/>
        <v>33.827497178294564</v>
      </c>
      <c r="M29" s="771">
        <f>'Segregated wastage'!G15</f>
        <v>29903.800000000003</v>
      </c>
      <c r="N29" s="787">
        <v>0.44492468571678928</v>
      </c>
      <c r="O29" s="785">
        <f t="shared" si="8"/>
        <v>13304.938816737724</v>
      </c>
      <c r="P29" s="771">
        <f>'Segregated wastage'!H15</f>
        <v>0</v>
      </c>
      <c r="Q29" s="787">
        <v>0.82801354454406162</v>
      </c>
      <c r="R29" s="785">
        <f t="shared" si="9"/>
        <v>0</v>
      </c>
      <c r="S29" s="776">
        <f>'Segregated wastage'!I15</f>
        <v>13782</v>
      </c>
      <c r="T29" s="789">
        <v>0.46700799999999998</v>
      </c>
      <c r="U29" s="790">
        <f t="shared" si="10"/>
        <v>6436.3042559999994</v>
      </c>
      <c r="V29" s="791">
        <f>'Segregated wastage'!Q15</f>
        <v>313</v>
      </c>
      <c r="W29" s="789">
        <v>0.62685614522394484</v>
      </c>
      <c r="X29" s="792">
        <f t="shared" si="13"/>
        <v>196.20597345509472</v>
      </c>
      <c r="Y29" s="782">
        <f t="shared" si="11"/>
        <v>24129.040368988684</v>
      </c>
      <c r="Z29" s="793">
        <f t="shared" si="12"/>
        <v>24.129040368988683</v>
      </c>
    </row>
    <row r="30" spans="1:26">
      <c r="C30" s="493" t="s">
        <v>286</v>
      </c>
      <c r="D30" s="771">
        <f>'Segregated wastage'!D16</f>
        <v>3242.1000000000004</v>
      </c>
      <c r="E30" s="784">
        <v>1.0417849725927271</v>
      </c>
      <c r="F30" s="785">
        <f t="shared" si="5"/>
        <v>3377.5710596428808</v>
      </c>
      <c r="G30" s="771">
        <f>'Segregated wastage'!E16</f>
        <v>1283.5999999999999</v>
      </c>
      <c r="H30" s="786">
        <v>8.8832713178294571E-3</v>
      </c>
      <c r="I30" s="785">
        <f t="shared" si="6"/>
        <v>11.40256706356589</v>
      </c>
      <c r="J30" s="771">
        <f>'Segregated wastage'!F16</f>
        <v>3200</v>
      </c>
      <c r="K30" s="786">
        <v>8.8832713178294553E-3</v>
      </c>
      <c r="L30" s="785">
        <f t="shared" si="7"/>
        <v>28.426468217054257</v>
      </c>
      <c r="M30" s="771">
        <f>'Segregated wastage'!G16</f>
        <v>34964.5</v>
      </c>
      <c r="N30" s="787">
        <v>0.44492468571678928</v>
      </c>
      <c r="O30" s="785">
        <f t="shared" si="8"/>
        <v>15556.56917374468</v>
      </c>
      <c r="P30" s="771">
        <f>'Segregated wastage'!H16</f>
        <v>0</v>
      </c>
      <c r="Q30" s="787">
        <v>0.82801354454406162</v>
      </c>
      <c r="R30" s="785">
        <f t="shared" si="9"/>
        <v>0</v>
      </c>
      <c r="S30" s="776">
        <f>'Segregated wastage'!I16</f>
        <v>15542</v>
      </c>
      <c r="T30" s="789">
        <v>0.46700799999999998</v>
      </c>
      <c r="U30" s="790">
        <f t="shared" si="10"/>
        <v>7258.2383359999994</v>
      </c>
      <c r="V30" s="791">
        <f>'Segregated wastage'!Q16</f>
        <v>463</v>
      </c>
      <c r="W30" s="789">
        <v>0.62685614522394484</v>
      </c>
      <c r="X30" s="792">
        <f t="shared" si="13"/>
        <v>290.23439523868649</v>
      </c>
      <c r="Y30" s="782">
        <f t="shared" si="11"/>
        <v>26522.441999906867</v>
      </c>
      <c r="Z30" s="793">
        <f t="shared" si="12"/>
        <v>26.522441999906867</v>
      </c>
    </row>
    <row r="31" spans="1:26">
      <c r="C31" s="493" t="s">
        <v>287</v>
      </c>
      <c r="D31" s="771">
        <f>'Segregated wastage'!D17</f>
        <v>0</v>
      </c>
      <c r="E31" s="784">
        <v>1.0417849725927271</v>
      </c>
      <c r="F31" s="785">
        <f t="shared" si="5"/>
        <v>0</v>
      </c>
      <c r="G31" s="771">
        <f>'Segregated wastage'!E17</f>
        <v>100</v>
      </c>
      <c r="H31" s="786">
        <v>8.8832713178294571E-3</v>
      </c>
      <c r="I31" s="785">
        <f t="shared" si="6"/>
        <v>0.88832713178294576</v>
      </c>
      <c r="J31" s="771">
        <f>'Segregated wastage'!F17</f>
        <v>10430.800000000001</v>
      </c>
      <c r="K31" s="786">
        <v>8.8832713178294553E-3</v>
      </c>
      <c r="L31" s="785">
        <f t="shared" si="7"/>
        <v>92.659626462015495</v>
      </c>
      <c r="M31" s="771">
        <f>'Segregated wastage'!G17</f>
        <v>9985.7000000000007</v>
      </c>
      <c r="N31" s="787">
        <v>0.44492468571678928</v>
      </c>
      <c r="O31" s="785">
        <f t="shared" si="8"/>
        <v>4442.8844341621434</v>
      </c>
      <c r="P31" s="771">
        <f>'Segregated wastage'!H17</f>
        <v>2695.45</v>
      </c>
      <c r="Q31" s="787">
        <v>0.82801354454406162</v>
      </c>
      <c r="R31" s="785">
        <f t="shared" si="9"/>
        <v>2231.8691086412909</v>
      </c>
      <c r="S31" s="776">
        <f>'Segregated wastage'!I17</f>
        <v>13670</v>
      </c>
      <c r="T31" s="789">
        <v>0.46700799999999998</v>
      </c>
      <c r="U31" s="790">
        <f t="shared" si="10"/>
        <v>6383.9993599999998</v>
      </c>
      <c r="V31" s="791">
        <f>'Segregated wastage'!Q17</f>
        <v>422.5</v>
      </c>
      <c r="W31" s="789">
        <v>0.62685614522394484</v>
      </c>
      <c r="X31" s="792">
        <f t="shared" si="13"/>
        <v>264.84672135711668</v>
      </c>
      <c r="Y31" s="782">
        <f t="shared" si="11"/>
        <v>13417.147577754347</v>
      </c>
      <c r="Z31" s="793">
        <f t="shared" si="12"/>
        <v>13.417147577754347</v>
      </c>
    </row>
    <row r="32" spans="1:26" ht="15.75" thickBot="1">
      <c r="C32" s="794" t="s">
        <v>288</v>
      </c>
      <c r="D32" s="795">
        <f>'Segregated wastage'!D18</f>
        <v>3790</v>
      </c>
      <c r="E32" s="796">
        <v>1.0417849725927271</v>
      </c>
      <c r="F32" s="797">
        <f t="shared" si="5"/>
        <v>3948.3650461264356</v>
      </c>
      <c r="G32" s="795">
        <f>'Segregated wastage'!E18</f>
        <v>1558.5</v>
      </c>
      <c r="H32" s="798">
        <v>8.8832713178294571E-3</v>
      </c>
      <c r="I32" s="797">
        <f t="shared" si="6"/>
        <v>13.844578348837208</v>
      </c>
      <c r="J32" s="795">
        <f>'Segregated wastage'!F18</f>
        <v>3908</v>
      </c>
      <c r="K32" s="798">
        <v>8.8832713178294553E-3</v>
      </c>
      <c r="L32" s="797">
        <f t="shared" si="7"/>
        <v>34.715824310077508</v>
      </c>
      <c r="M32" s="795">
        <f>'Segregated wastage'!G18</f>
        <v>14985.3</v>
      </c>
      <c r="N32" s="799">
        <v>0.44492468571678928</v>
      </c>
      <c r="O32" s="797">
        <f t="shared" si="8"/>
        <v>6667.3298928718023</v>
      </c>
      <c r="P32" s="795">
        <f>'Segregated wastage'!H18</f>
        <v>2986</v>
      </c>
      <c r="Q32" s="799">
        <v>0.82801354454406162</v>
      </c>
      <c r="R32" s="797">
        <f t="shared" si="9"/>
        <v>2472.448444008568</v>
      </c>
      <c r="S32" s="800">
        <f>'Segregated wastage'!I18</f>
        <v>30532</v>
      </c>
      <c r="T32" s="801">
        <v>0.46700799999999998</v>
      </c>
      <c r="U32" s="802">
        <f t="shared" si="10"/>
        <v>14258.688255999999</v>
      </c>
      <c r="V32" s="803">
        <f>'Segregated wastage'!Q18</f>
        <v>390</v>
      </c>
      <c r="W32" s="801">
        <v>0.62685614522394484</v>
      </c>
      <c r="X32" s="804">
        <f>V32*W32</f>
        <v>244.4738966373385</v>
      </c>
      <c r="Y32" s="782">
        <f t="shared" si="11"/>
        <v>27639.865938303061</v>
      </c>
      <c r="Z32" s="805">
        <f t="shared" si="12"/>
        <v>27.63986593830306</v>
      </c>
    </row>
    <row r="33" spans="3:26" ht="15.75" thickBot="1">
      <c r="C33" s="806" t="s">
        <v>334</v>
      </c>
      <c r="D33" s="807">
        <f>SUM(D21:D32)</f>
        <v>48143.700000000004</v>
      </c>
      <c r="E33" s="808"/>
      <c r="F33" s="809">
        <f>SUM(F21:F32)</f>
        <v>50155.38318501247</v>
      </c>
      <c r="G33" s="807">
        <f t="shared" ref="G33:P33" si="14">SUM(G21:G32)</f>
        <v>33659</v>
      </c>
      <c r="H33" s="808"/>
      <c r="I33" s="809">
        <f>SUM(I21:I32)</f>
        <v>299.00202928682165</v>
      </c>
      <c r="J33" s="807">
        <f t="shared" si="14"/>
        <v>59813</v>
      </c>
      <c r="K33" s="808"/>
      <c r="L33" s="809">
        <f>SUM(L21:L32)</f>
        <v>531.33510733333333</v>
      </c>
      <c r="M33" s="807">
        <f t="shared" si="14"/>
        <v>178292.2</v>
      </c>
      <c r="N33" s="808"/>
      <c r="O33" s="809">
        <f>SUM(O21:O32)</f>
        <v>79326.601050754936</v>
      </c>
      <c r="P33" s="807">
        <f t="shared" si="14"/>
        <v>20676.25</v>
      </c>
      <c r="Q33" s="808"/>
      <c r="R33" s="809">
        <f>SUM(R21:R32)</f>
        <v>17120.215050379156</v>
      </c>
      <c r="S33" s="807">
        <f>SUM(S21:S32)</f>
        <v>205388</v>
      </c>
      <c r="T33" s="808"/>
      <c r="U33" s="810">
        <f>SUM(U21:U32)</f>
        <v>95917.839103999999</v>
      </c>
      <c r="V33" s="807">
        <f>SUM(V21:V32)</f>
        <v>3495.5</v>
      </c>
      <c r="W33" s="808"/>
      <c r="X33" s="809">
        <f>SUM(X21:X32)</f>
        <v>2191.1756556302989</v>
      </c>
      <c r="Y33" s="811">
        <f>SUM(Y21:Y32)</f>
        <v>245541.551182397</v>
      </c>
      <c r="Z33" s="812">
        <f>SUM(Z21:Z32)</f>
        <v>245.54155118239703</v>
      </c>
    </row>
    <row r="35" spans="3:26" ht="15.75" thickBot="1"/>
    <row r="36" spans="3:26" ht="30.75" thickBot="1">
      <c r="C36" s="492" t="s">
        <v>121</v>
      </c>
      <c r="D36" s="813" t="s">
        <v>860</v>
      </c>
      <c r="E36" s="814" t="s">
        <v>861</v>
      </c>
      <c r="G36" s="815" t="s">
        <v>862</v>
      </c>
      <c r="H36" s="816" t="s">
        <v>863</v>
      </c>
    </row>
    <row r="37" spans="3:26">
      <c r="C37" s="529" t="s">
        <v>127</v>
      </c>
      <c r="D37" s="817">
        <f>J6+Y21</f>
        <v>31915.161220540715</v>
      </c>
      <c r="E37" s="818">
        <f>D37*0.001</f>
        <v>31.915161220540714</v>
      </c>
      <c r="G37" s="819">
        <f>D37+'Cat-3'!D97</f>
        <v>46195.518697158004</v>
      </c>
      <c r="H37" s="820">
        <f>E37+'Cat-3'!E97</f>
        <v>46.195518697158001</v>
      </c>
    </row>
    <row r="38" spans="3:26">
      <c r="C38" s="569" t="s">
        <v>128</v>
      </c>
      <c r="D38" s="821">
        <f t="shared" ref="D38:D48" si="15">J7+Y22</f>
        <v>30698.479153988177</v>
      </c>
      <c r="E38" s="571">
        <f t="shared" ref="E38:E49" si="16">D38*0.001</f>
        <v>30.698479153988178</v>
      </c>
      <c r="G38" s="822">
        <f>D38+'Cat-3'!D98</f>
        <v>45394.669847591664</v>
      </c>
      <c r="H38" s="823">
        <f>E38+'Cat-3'!E98</f>
        <v>45.394669847591665</v>
      </c>
      <c r="I38" s="530"/>
      <c r="J38" s="530"/>
      <c r="K38" s="530"/>
      <c r="L38" s="530"/>
      <c r="M38" s="530"/>
      <c r="N38" s="530"/>
      <c r="O38" s="530"/>
    </row>
    <row r="39" spans="3:26">
      <c r="C39" s="569" t="s">
        <v>129</v>
      </c>
      <c r="D39" s="821">
        <f t="shared" si="15"/>
        <v>32709.231771295934</v>
      </c>
      <c r="E39" s="571">
        <f t="shared" si="16"/>
        <v>32.709231771295933</v>
      </c>
      <c r="G39" s="822">
        <f>D39+'Cat-3'!D99</f>
        <v>51389.075451177516</v>
      </c>
      <c r="H39" s="823">
        <f>E39+'Cat-3'!E99</f>
        <v>51.389075451177511</v>
      </c>
    </row>
    <row r="40" spans="3:26">
      <c r="C40" s="569" t="s">
        <v>130</v>
      </c>
      <c r="D40" s="821">
        <f t="shared" si="15"/>
        <v>35026.402997353682</v>
      </c>
      <c r="E40" s="571">
        <f t="shared" si="16"/>
        <v>35.026402997353685</v>
      </c>
      <c r="G40" s="822">
        <f>D40+'Cat-3'!D100</f>
        <v>54620.880494017954</v>
      </c>
      <c r="H40" s="823">
        <f>E40+'Cat-3'!E100</f>
        <v>54.620880494017953</v>
      </c>
    </row>
    <row r="41" spans="3:26">
      <c r="C41" s="569" t="s">
        <v>132</v>
      </c>
      <c r="D41" s="821">
        <f t="shared" si="15"/>
        <v>39677.240495696089</v>
      </c>
      <c r="E41" s="571">
        <f t="shared" si="16"/>
        <v>39.67724049569609</v>
      </c>
      <c r="G41" s="822">
        <f>D41+'Cat-3'!D101</f>
        <v>61695.61339827656</v>
      </c>
      <c r="H41" s="823">
        <f>E41+'Cat-3'!E101</f>
        <v>61.695613398276556</v>
      </c>
    </row>
    <row r="42" spans="3:26">
      <c r="C42" s="569" t="s">
        <v>134</v>
      </c>
      <c r="D42" s="821">
        <f t="shared" si="15"/>
        <v>46790.709602427058</v>
      </c>
      <c r="E42" s="571">
        <f t="shared" si="16"/>
        <v>46.790709602427057</v>
      </c>
      <c r="G42" s="822">
        <f>D42+'Cat-3'!D102</f>
        <v>65733.041309529857</v>
      </c>
      <c r="H42" s="823">
        <f>E42+'Cat-3'!E102</f>
        <v>65.733041309529852</v>
      </c>
    </row>
    <row r="43" spans="3:26">
      <c r="C43" s="569" t="s">
        <v>136</v>
      </c>
      <c r="D43" s="821">
        <f t="shared" si="15"/>
        <v>40799.212367757602</v>
      </c>
      <c r="E43" s="571">
        <f t="shared" si="16"/>
        <v>40.799212367757605</v>
      </c>
      <c r="G43" s="822">
        <f>D43+'Cat-3'!D103</f>
        <v>56843.673137227481</v>
      </c>
      <c r="H43" s="823">
        <f>E43+'Cat-3'!E103</f>
        <v>56.843673137227483</v>
      </c>
    </row>
    <row r="44" spans="3:26">
      <c r="C44" s="569" t="s">
        <v>138</v>
      </c>
      <c r="D44" s="821">
        <f t="shared" si="15"/>
        <v>46196.720638804814</v>
      </c>
      <c r="E44" s="571">
        <f t="shared" si="16"/>
        <v>46.196720638804813</v>
      </c>
      <c r="G44" s="822">
        <f>D44+'Cat-3'!D104</f>
        <v>72985.319454713899</v>
      </c>
      <c r="H44" s="823">
        <f>E44+'Cat-3'!E104</f>
        <v>72.985319454713888</v>
      </c>
    </row>
    <row r="45" spans="3:26">
      <c r="C45" s="569" t="s">
        <v>139</v>
      </c>
      <c r="D45" s="821">
        <f t="shared" si="15"/>
        <v>43249.803785188684</v>
      </c>
      <c r="E45" s="571">
        <f t="shared" si="16"/>
        <v>43.249803785188682</v>
      </c>
      <c r="G45" s="822">
        <f>D45+'Cat-3'!D105</f>
        <v>59503.11539568095</v>
      </c>
      <c r="H45" s="823">
        <f>E45+'Cat-3'!E105</f>
        <v>59.50311539568095</v>
      </c>
    </row>
    <row r="46" spans="3:26">
      <c r="C46" s="569" t="s">
        <v>140</v>
      </c>
      <c r="D46" s="821">
        <f t="shared" si="15"/>
        <v>47330.767559666871</v>
      </c>
      <c r="E46" s="571">
        <f t="shared" si="16"/>
        <v>47.330767559666874</v>
      </c>
      <c r="G46" s="822">
        <f>D46+'Cat-3'!D106</f>
        <v>63146.654087257833</v>
      </c>
      <c r="H46" s="823">
        <f>E46+'Cat-3'!E106</f>
        <v>63.146654087257836</v>
      </c>
    </row>
    <row r="47" spans="3:26">
      <c r="C47" s="569" t="s">
        <v>142</v>
      </c>
      <c r="D47" s="821">
        <f t="shared" si="15"/>
        <v>33268.872108414354</v>
      </c>
      <c r="E47" s="571">
        <f t="shared" si="16"/>
        <v>33.268872108414357</v>
      </c>
      <c r="G47" s="822">
        <f>D47+'Cat-3'!D107</f>
        <v>52301.072082568637</v>
      </c>
      <c r="H47" s="823">
        <f>E47+'Cat-3'!E107</f>
        <v>52.301072082568638</v>
      </c>
    </row>
    <row r="48" spans="3:26" ht="15.75" thickBot="1">
      <c r="C48" s="573" t="s">
        <v>144</v>
      </c>
      <c r="D48" s="824">
        <f t="shared" si="15"/>
        <v>43351.075158303058</v>
      </c>
      <c r="E48" s="575">
        <f t="shared" si="16"/>
        <v>43.351075158303061</v>
      </c>
      <c r="G48" s="825">
        <f>D48+'Cat-3'!D108</f>
        <v>68826.195760439063</v>
      </c>
      <c r="H48" s="826">
        <f>E48+'Cat-3'!E108</f>
        <v>68.826195760439063</v>
      </c>
    </row>
    <row r="49" spans="1:15" ht="15.75" thickBot="1">
      <c r="C49" s="827" t="s">
        <v>864</v>
      </c>
      <c r="D49" s="828">
        <f>SUM(D37:D48)</f>
        <v>471013.67685943714</v>
      </c>
      <c r="E49" s="829">
        <f t="shared" si="16"/>
        <v>471.01367685943717</v>
      </c>
      <c r="G49" s="830">
        <f>SUM(G37:G48)</f>
        <v>698634.82911563944</v>
      </c>
      <c r="H49" s="831">
        <f>SUM(H37:H48)</f>
        <v>698.63482911563949</v>
      </c>
    </row>
    <row r="52" spans="1:15" ht="23.25">
      <c r="A52" s="2095">
        <v>2024</v>
      </c>
      <c r="B52" s="2095"/>
      <c r="C52" s="2095"/>
      <c r="D52" s="2095"/>
      <c r="E52" s="2095"/>
      <c r="F52" s="2095"/>
      <c r="G52" s="2095"/>
      <c r="H52" s="2095"/>
      <c r="I52" s="2095"/>
      <c r="J52" s="2095"/>
      <c r="K52" s="2095"/>
      <c r="L52" s="2095"/>
      <c r="M52" s="2095"/>
      <c r="N52" s="2095"/>
      <c r="O52" s="2095"/>
    </row>
    <row r="53" spans="1:15" ht="18.75">
      <c r="C53" s="2057" t="s">
        <v>715</v>
      </c>
      <c r="D53" s="2057"/>
      <c r="E53" s="2057"/>
      <c r="F53" s="2057"/>
      <c r="G53" s="2057"/>
      <c r="H53" s="2057"/>
      <c r="I53" s="2057"/>
      <c r="J53" s="2057"/>
      <c r="K53" s="2057"/>
    </row>
    <row r="54" spans="1:15" ht="15.75" thickBot="1"/>
    <row r="55" spans="1:15" ht="15.75" thickBot="1">
      <c r="C55" s="2058" t="s">
        <v>832</v>
      </c>
      <c r="D55" s="2059"/>
      <c r="E55" s="2059"/>
      <c r="F55" s="2059"/>
      <c r="G55" s="2059"/>
      <c r="H55" s="2059"/>
      <c r="I55" s="2059"/>
      <c r="J55" s="2059"/>
      <c r="K55" s="2060"/>
    </row>
    <row r="56" spans="1:15" ht="45.75" thickBot="1">
      <c r="A56" s="880" t="s">
        <v>338</v>
      </c>
      <c r="C56" s="488" t="s">
        <v>121</v>
      </c>
      <c r="D56" s="752" t="s">
        <v>833</v>
      </c>
      <c r="E56" s="753" t="s">
        <v>834</v>
      </c>
      <c r="F56" s="754" t="s">
        <v>835</v>
      </c>
      <c r="G56" s="753" t="s">
        <v>836</v>
      </c>
      <c r="H56" s="753" t="s">
        <v>753</v>
      </c>
      <c r="I56" s="753" t="s">
        <v>754</v>
      </c>
      <c r="J56" s="755" t="s">
        <v>837</v>
      </c>
      <c r="K56" s="756" t="s">
        <v>838</v>
      </c>
    </row>
    <row r="57" spans="1:15">
      <c r="A57" s="883" t="s">
        <v>839</v>
      </c>
      <c r="C57" s="493" t="s">
        <v>127</v>
      </c>
      <c r="D57" s="757">
        <f>'Cat-2'!G26</f>
        <v>244355</v>
      </c>
      <c r="E57" s="651">
        <f t="shared" ref="E57:E68" si="17">D57*0.001</f>
        <v>244.35500000000002</v>
      </c>
      <c r="F57" s="651">
        <v>0.1041</v>
      </c>
      <c r="G57" s="651">
        <f t="shared" ref="G57:G68" si="18">E57*F57</f>
        <v>25.437355500000002</v>
      </c>
      <c r="H57" s="651">
        <v>0.67</v>
      </c>
      <c r="I57" s="651">
        <f t="shared" ref="I57:I68" si="19">G57*H57</f>
        <v>17.043028185000004</v>
      </c>
      <c r="J57" s="684">
        <f t="shared" ref="J57:J68" si="20">I57*1000</f>
        <v>17043.028185000003</v>
      </c>
      <c r="K57" s="758">
        <f>J57/1000</f>
        <v>17.043028185000004</v>
      </c>
    </row>
    <row r="58" spans="1:15">
      <c r="A58" t="s">
        <v>840</v>
      </c>
      <c r="C58" s="493" t="s">
        <v>128</v>
      </c>
      <c r="D58" s="757">
        <f>'Cat-2'!G27</f>
        <v>0</v>
      </c>
      <c r="E58" s="651">
        <f t="shared" si="17"/>
        <v>0</v>
      </c>
      <c r="F58" s="651">
        <v>0.1041</v>
      </c>
      <c r="G58" s="651">
        <f t="shared" si="18"/>
        <v>0</v>
      </c>
      <c r="H58" s="651">
        <v>0.67</v>
      </c>
      <c r="I58" s="651">
        <f t="shared" si="19"/>
        <v>0</v>
      </c>
      <c r="J58" s="684">
        <f t="shared" si="20"/>
        <v>0</v>
      </c>
      <c r="K58" s="632">
        <f t="shared" ref="K58:K68" si="21">J58/1000</f>
        <v>0</v>
      </c>
    </row>
    <row r="59" spans="1:15">
      <c r="C59" s="493" t="s">
        <v>129</v>
      </c>
      <c r="D59" s="757">
        <f>'Cat-2'!G28</f>
        <v>0</v>
      </c>
      <c r="E59" s="651">
        <f t="shared" si="17"/>
        <v>0</v>
      </c>
      <c r="F59" s="651">
        <v>0.1041</v>
      </c>
      <c r="G59" s="651">
        <f t="shared" si="18"/>
        <v>0</v>
      </c>
      <c r="H59" s="651">
        <v>0.67</v>
      </c>
      <c r="I59" s="651">
        <f t="shared" si="19"/>
        <v>0</v>
      </c>
      <c r="J59" s="684">
        <f t="shared" si="20"/>
        <v>0</v>
      </c>
      <c r="K59" s="632">
        <f t="shared" si="21"/>
        <v>0</v>
      </c>
    </row>
    <row r="60" spans="1:15">
      <c r="C60" s="493" t="s">
        <v>130</v>
      </c>
      <c r="D60" s="757">
        <f>'Cat-2'!G29</f>
        <v>0</v>
      </c>
      <c r="E60" s="651">
        <f t="shared" si="17"/>
        <v>0</v>
      </c>
      <c r="F60" s="651">
        <v>0.1041</v>
      </c>
      <c r="G60" s="651">
        <f t="shared" si="18"/>
        <v>0</v>
      </c>
      <c r="H60" s="651">
        <v>0.67</v>
      </c>
      <c r="I60" s="651">
        <f t="shared" si="19"/>
        <v>0</v>
      </c>
      <c r="J60" s="684">
        <f t="shared" si="20"/>
        <v>0</v>
      </c>
      <c r="K60" s="632">
        <f t="shared" si="21"/>
        <v>0</v>
      </c>
    </row>
    <row r="61" spans="1:15">
      <c r="C61" s="493" t="s">
        <v>132</v>
      </c>
      <c r="D61" s="757">
        <f>'Cat-2'!G30</f>
        <v>0</v>
      </c>
      <c r="E61" s="651">
        <f t="shared" si="17"/>
        <v>0</v>
      </c>
      <c r="F61" s="651">
        <v>0.1041</v>
      </c>
      <c r="G61" s="651">
        <f t="shared" si="18"/>
        <v>0</v>
      </c>
      <c r="H61" s="651">
        <v>0.67</v>
      </c>
      <c r="I61" s="651">
        <f t="shared" si="19"/>
        <v>0</v>
      </c>
      <c r="J61" s="684">
        <f t="shared" si="20"/>
        <v>0</v>
      </c>
      <c r="K61" s="632">
        <f t="shared" si="21"/>
        <v>0</v>
      </c>
    </row>
    <row r="62" spans="1:15">
      <c r="C62" s="493" t="s">
        <v>134</v>
      </c>
      <c r="D62" s="757">
        <f>'Cat-2'!G31</f>
        <v>0</v>
      </c>
      <c r="E62" s="651">
        <f t="shared" si="17"/>
        <v>0</v>
      </c>
      <c r="F62" s="651">
        <v>0.1041</v>
      </c>
      <c r="G62" s="651">
        <f t="shared" si="18"/>
        <v>0</v>
      </c>
      <c r="H62" s="651">
        <v>0.67</v>
      </c>
      <c r="I62" s="651">
        <f t="shared" si="19"/>
        <v>0</v>
      </c>
      <c r="J62" s="684">
        <f t="shared" si="20"/>
        <v>0</v>
      </c>
      <c r="K62" s="632">
        <f t="shared" si="21"/>
        <v>0</v>
      </c>
    </row>
    <row r="63" spans="1:15">
      <c r="C63" s="493" t="s">
        <v>136</v>
      </c>
      <c r="D63" s="757">
        <f>'Cat-2'!G32</f>
        <v>0</v>
      </c>
      <c r="E63" s="651">
        <f t="shared" si="17"/>
        <v>0</v>
      </c>
      <c r="F63" s="651">
        <v>0.1041</v>
      </c>
      <c r="G63" s="651">
        <f t="shared" si="18"/>
        <v>0</v>
      </c>
      <c r="H63" s="651">
        <v>0.67</v>
      </c>
      <c r="I63" s="651">
        <f t="shared" si="19"/>
        <v>0</v>
      </c>
      <c r="J63" s="684">
        <f t="shared" si="20"/>
        <v>0</v>
      </c>
      <c r="K63" s="632">
        <f t="shared" si="21"/>
        <v>0</v>
      </c>
    </row>
    <row r="64" spans="1:15">
      <c r="C64" s="493" t="s">
        <v>138</v>
      </c>
      <c r="D64" s="757">
        <f>'Cat-2'!G33</f>
        <v>0</v>
      </c>
      <c r="E64" s="651">
        <f t="shared" si="17"/>
        <v>0</v>
      </c>
      <c r="F64" s="651">
        <v>0.1041</v>
      </c>
      <c r="G64" s="651">
        <f t="shared" si="18"/>
        <v>0</v>
      </c>
      <c r="H64" s="651">
        <v>0.67</v>
      </c>
      <c r="I64" s="651">
        <f t="shared" si="19"/>
        <v>0</v>
      </c>
      <c r="J64" s="684">
        <f t="shared" si="20"/>
        <v>0</v>
      </c>
      <c r="K64" s="632">
        <f t="shared" si="21"/>
        <v>0</v>
      </c>
    </row>
    <row r="65" spans="1:26">
      <c r="C65" s="493" t="s">
        <v>139</v>
      </c>
      <c r="D65" s="757">
        <f>'Cat-2'!G34</f>
        <v>0</v>
      </c>
      <c r="E65" s="651">
        <f t="shared" si="17"/>
        <v>0</v>
      </c>
      <c r="F65" s="651">
        <v>0.1041</v>
      </c>
      <c r="G65" s="651">
        <f t="shared" si="18"/>
        <v>0</v>
      </c>
      <c r="H65" s="651">
        <v>0.67</v>
      </c>
      <c r="I65" s="651">
        <f t="shared" si="19"/>
        <v>0</v>
      </c>
      <c r="J65" s="684">
        <f t="shared" si="20"/>
        <v>0</v>
      </c>
      <c r="K65" s="632">
        <f t="shared" si="21"/>
        <v>0</v>
      </c>
    </row>
    <row r="66" spans="1:26">
      <c r="C66" s="493" t="s">
        <v>140</v>
      </c>
      <c r="D66" s="757">
        <f>'Cat-2'!G35</f>
        <v>0</v>
      </c>
      <c r="E66" s="651">
        <f t="shared" si="17"/>
        <v>0</v>
      </c>
      <c r="F66" s="651">
        <v>0.1041</v>
      </c>
      <c r="G66" s="651">
        <f t="shared" si="18"/>
        <v>0</v>
      </c>
      <c r="H66" s="651">
        <v>0.67</v>
      </c>
      <c r="I66" s="651">
        <f t="shared" si="19"/>
        <v>0</v>
      </c>
      <c r="J66" s="684">
        <f t="shared" si="20"/>
        <v>0</v>
      </c>
      <c r="K66" s="632">
        <f t="shared" si="21"/>
        <v>0</v>
      </c>
    </row>
    <row r="67" spans="1:26">
      <c r="C67" s="493" t="s">
        <v>142</v>
      </c>
      <c r="D67" s="757">
        <f>'Cat-2'!G36</f>
        <v>0</v>
      </c>
      <c r="E67" s="651">
        <f t="shared" si="17"/>
        <v>0</v>
      </c>
      <c r="F67" s="651">
        <v>0.1041</v>
      </c>
      <c r="G67" s="651">
        <f t="shared" si="18"/>
        <v>0</v>
      </c>
      <c r="H67" s="651">
        <v>0.67</v>
      </c>
      <c r="I67" s="651">
        <f t="shared" si="19"/>
        <v>0</v>
      </c>
      <c r="J67" s="684">
        <f t="shared" si="20"/>
        <v>0</v>
      </c>
      <c r="K67" s="632">
        <f t="shared" si="21"/>
        <v>0</v>
      </c>
    </row>
    <row r="68" spans="1:26" ht="15.75" thickBot="1">
      <c r="C68" s="503" t="s">
        <v>144</v>
      </c>
      <c r="D68" s="759">
        <f>'Cat-2'!G37</f>
        <v>0</v>
      </c>
      <c r="E68" s="713">
        <f t="shared" si="17"/>
        <v>0</v>
      </c>
      <c r="F68" s="713">
        <v>0.1041</v>
      </c>
      <c r="G68" s="713">
        <f t="shared" si="18"/>
        <v>0</v>
      </c>
      <c r="H68" s="713">
        <v>0.67</v>
      </c>
      <c r="I68" s="713">
        <f t="shared" si="19"/>
        <v>0</v>
      </c>
      <c r="J68" s="691">
        <f t="shared" si="20"/>
        <v>0</v>
      </c>
      <c r="K68" s="634">
        <f t="shared" si="21"/>
        <v>0</v>
      </c>
    </row>
    <row r="69" spans="1:26" ht="15.75" thickBot="1">
      <c r="C69" s="665"/>
      <c r="D69" s="760"/>
      <c r="E69" s="665"/>
      <c r="F69" s="665"/>
      <c r="G69" s="665"/>
      <c r="H69" s="665"/>
      <c r="I69" s="665"/>
      <c r="J69" s="665"/>
    </row>
    <row r="70" spans="1:26" ht="19.5" thickBot="1">
      <c r="C70" s="2091" t="s">
        <v>865</v>
      </c>
      <c r="D70" s="2092"/>
      <c r="E70" s="2092"/>
      <c r="F70" s="2092"/>
      <c r="G70" s="2092"/>
      <c r="H70" s="2092"/>
      <c r="I70" s="2092"/>
      <c r="J70" s="2092"/>
      <c r="K70" s="2092"/>
      <c r="L70" s="2092"/>
      <c r="M70" s="2092"/>
      <c r="N70" s="2092"/>
      <c r="O70" s="2092"/>
      <c r="P70" s="2092"/>
      <c r="Q70" s="2092"/>
      <c r="R70" s="2092"/>
      <c r="S70" s="2092"/>
      <c r="T70" s="2092"/>
      <c r="U70" s="2092"/>
      <c r="V70" s="2093"/>
      <c r="W70" s="2093"/>
      <c r="X70" s="2093"/>
      <c r="Y70" s="2092"/>
      <c r="Z70" s="2094"/>
    </row>
    <row r="71" spans="1:26" ht="30.75" thickBot="1">
      <c r="A71" s="880" t="s">
        <v>338</v>
      </c>
      <c r="C71" s="761" t="s">
        <v>121</v>
      </c>
      <c r="D71" s="762" t="s">
        <v>842</v>
      </c>
      <c r="E71" s="763" t="s">
        <v>843</v>
      </c>
      <c r="F71" s="764" t="s">
        <v>844</v>
      </c>
      <c r="G71" s="762" t="s">
        <v>845</v>
      </c>
      <c r="H71" s="763" t="s">
        <v>843</v>
      </c>
      <c r="I71" s="764" t="s">
        <v>846</v>
      </c>
      <c r="J71" s="762" t="s">
        <v>847</v>
      </c>
      <c r="K71" s="763" t="s">
        <v>843</v>
      </c>
      <c r="L71" s="764" t="s">
        <v>848</v>
      </c>
      <c r="M71" s="762" t="s">
        <v>849</v>
      </c>
      <c r="N71" s="763" t="s">
        <v>843</v>
      </c>
      <c r="O71" s="764" t="s">
        <v>850</v>
      </c>
      <c r="P71" s="762" t="s">
        <v>851</v>
      </c>
      <c r="Q71" s="763" t="s">
        <v>843</v>
      </c>
      <c r="R71" s="764" t="s">
        <v>852</v>
      </c>
      <c r="S71" s="762" t="s">
        <v>853</v>
      </c>
      <c r="T71" s="763" t="s">
        <v>843</v>
      </c>
      <c r="U71" s="765" t="s">
        <v>854</v>
      </c>
      <c r="V71" s="761" t="s">
        <v>855</v>
      </c>
      <c r="W71" s="1337" t="s">
        <v>843</v>
      </c>
      <c r="X71" s="768" t="s">
        <v>856</v>
      </c>
      <c r="Y71" s="769" t="s">
        <v>857</v>
      </c>
      <c r="Z71" s="770" t="s">
        <v>858</v>
      </c>
    </row>
    <row r="72" spans="1:26">
      <c r="A72" t="s">
        <v>859</v>
      </c>
      <c r="C72" s="672" t="s">
        <v>278</v>
      </c>
      <c r="D72" s="771">
        <f>'Segregated wastage'!D27</f>
        <v>4537.7</v>
      </c>
      <c r="E72" s="772">
        <v>1.0417849725927271</v>
      </c>
      <c r="F72" s="773">
        <f>D72*E72</f>
        <v>4727.3076701340178</v>
      </c>
      <c r="G72" s="771">
        <f>'Segregated wastage'!E27</f>
        <v>2504.5</v>
      </c>
      <c r="H72" s="774">
        <v>8.8832713178294571E-3</v>
      </c>
      <c r="I72" s="773">
        <f>G72*H72</f>
        <v>22.248153015503874</v>
      </c>
      <c r="J72" s="771">
        <f>'Segregated wastage'!F27</f>
        <v>3908</v>
      </c>
      <c r="K72" s="774">
        <v>8.8832713178294553E-3</v>
      </c>
      <c r="L72" s="773">
        <f>J72*K72</f>
        <v>34.715824310077508</v>
      </c>
      <c r="M72" s="771">
        <f>'Segregated wastage'!G27</f>
        <v>12433.1</v>
      </c>
      <c r="N72" s="775">
        <v>0.44492468571678928</v>
      </c>
      <c r="O72" s="773">
        <f>M72*N72</f>
        <v>5531.7931099854131</v>
      </c>
      <c r="P72" s="771">
        <f>'Segregated wastage'!H27</f>
        <v>0</v>
      </c>
      <c r="Q72" s="775">
        <v>0.82801354454406162</v>
      </c>
      <c r="R72" s="773">
        <f>P72*Q72</f>
        <v>0</v>
      </c>
      <c r="S72" s="776">
        <f>'Segregated wastage'!I27</f>
        <v>19634</v>
      </c>
      <c r="T72" s="777">
        <v>0.46700799999999998</v>
      </c>
      <c r="U72" s="778">
        <f>S72*T72</f>
        <v>9169.2350719999995</v>
      </c>
      <c r="V72" s="1338">
        <f>'Segregated wastage'!Q27</f>
        <v>467</v>
      </c>
      <c r="W72" s="780">
        <v>0.62685614522394484</v>
      </c>
      <c r="X72" s="781">
        <f>V72*W72</f>
        <v>292.74181981958225</v>
      </c>
      <c r="Y72" s="782">
        <f>U72+R72+O72+L72+I72+F72+X72</f>
        <v>19778.041649264593</v>
      </c>
      <c r="Z72" s="783">
        <f>Y72/1000</f>
        <v>19.778041649264594</v>
      </c>
    </row>
    <row r="73" spans="1:26">
      <c r="C73" s="493" t="s">
        <v>279</v>
      </c>
      <c r="D73" s="771">
        <f>'Segregated wastage'!D28</f>
        <v>0</v>
      </c>
      <c r="E73" s="784">
        <v>1.0417849725927271</v>
      </c>
      <c r="F73" s="785">
        <f t="shared" ref="F73:F83" si="22">D73*E73</f>
        <v>0</v>
      </c>
      <c r="G73" s="771">
        <f>'Segregated wastage'!E28</f>
        <v>0</v>
      </c>
      <c r="H73" s="786">
        <v>8.8832713178294571E-3</v>
      </c>
      <c r="I73" s="785">
        <f t="shared" ref="I73:I83" si="23">G73*H73</f>
        <v>0</v>
      </c>
      <c r="J73" s="771">
        <f>'Segregated wastage'!F28</f>
        <v>0</v>
      </c>
      <c r="K73" s="786">
        <v>8.8832713178294553E-3</v>
      </c>
      <c r="L73" s="785">
        <f t="shared" ref="L73:L83" si="24">J73*K73</f>
        <v>0</v>
      </c>
      <c r="M73" s="771">
        <f>'Segregated wastage'!G28</f>
        <v>0</v>
      </c>
      <c r="N73" s="787">
        <v>0.44492468571678928</v>
      </c>
      <c r="O73" s="785">
        <f t="shared" ref="O73:O83" si="25">M73*N73</f>
        <v>0</v>
      </c>
      <c r="P73" s="771">
        <f>'Segregated wastage'!H28</f>
        <v>0</v>
      </c>
      <c r="Q73" s="787">
        <v>0.82801354454406162</v>
      </c>
      <c r="R73" s="785">
        <f t="shared" ref="R73:R83" si="26">P73*Q73</f>
        <v>0</v>
      </c>
      <c r="S73" s="776">
        <f>'Segregated wastage'!I28</f>
        <v>0</v>
      </c>
      <c r="T73" s="789">
        <v>0.46700799999999998</v>
      </c>
      <c r="U73" s="790">
        <f t="shared" ref="U73:U83" si="27">S73*T73</f>
        <v>0</v>
      </c>
      <c r="V73" s="1336">
        <f>'Segregated wastage'!Q28</f>
        <v>0</v>
      </c>
      <c r="W73" s="789">
        <v>0.62685614522394484</v>
      </c>
      <c r="X73" s="792">
        <f>V73*W73</f>
        <v>0</v>
      </c>
      <c r="Y73" s="782">
        <f t="shared" ref="Y73:Y83" si="28">U73+R73+O73+L73+I73+F73+X73</f>
        <v>0</v>
      </c>
      <c r="Z73" s="793">
        <f t="shared" ref="Z73:Z83" si="29">Y73/1000</f>
        <v>0</v>
      </c>
    </row>
    <row r="74" spans="1:26">
      <c r="C74" s="493" t="s">
        <v>280</v>
      </c>
      <c r="D74" s="771">
        <f>'Segregated wastage'!D29</f>
        <v>0</v>
      </c>
      <c r="E74" s="784">
        <v>1.0417849725927271</v>
      </c>
      <c r="F74" s="785">
        <f t="shared" si="22"/>
        <v>0</v>
      </c>
      <c r="G74" s="771">
        <f>'Segregated wastage'!E29</f>
        <v>0</v>
      </c>
      <c r="H74" s="786">
        <v>8.8832713178294571E-3</v>
      </c>
      <c r="I74" s="785">
        <f t="shared" si="23"/>
        <v>0</v>
      </c>
      <c r="J74" s="771">
        <f>'Segregated wastage'!F29</f>
        <v>0</v>
      </c>
      <c r="K74" s="786">
        <v>8.8832713178294553E-3</v>
      </c>
      <c r="L74" s="785">
        <f t="shared" si="24"/>
        <v>0</v>
      </c>
      <c r="M74" s="771">
        <f>'Segregated wastage'!G29</f>
        <v>0</v>
      </c>
      <c r="N74" s="787">
        <v>0.44492468571678928</v>
      </c>
      <c r="O74" s="785">
        <f t="shared" si="25"/>
        <v>0</v>
      </c>
      <c r="P74" s="771">
        <f>'Segregated wastage'!H29</f>
        <v>0</v>
      </c>
      <c r="Q74" s="787">
        <v>0.82801354454406162</v>
      </c>
      <c r="R74" s="785">
        <f t="shared" si="26"/>
        <v>0</v>
      </c>
      <c r="S74" s="776">
        <f>'Segregated wastage'!I29</f>
        <v>0</v>
      </c>
      <c r="T74" s="789">
        <v>0.46700799999999998</v>
      </c>
      <c r="U74" s="790">
        <f t="shared" si="27"/>
        <v>0</v>
      </c>
      <c r="V74" s="1336">
        <f>'Segregated wastage'!Q29</f>
        <v>0</v>
      </c>
      <c r="W74" s="789">
        <v>0.62685614522394484</v>
      </c>
      <c r="X74" s="792">
        <f t="shared" ref="X74:X82" si="30">V74*W74</f>
        <v>0</v>
      </c>
      <c r="Y74" s="782">
        <f t="shared" si="28"/>
        <v>0</v>
      </c>
      <c r="Z74" s="793">
        <f t="shared" si="29"/>
        <v>0</v>
      </c>
    </row>
    <row r="75" spans="1:26">
      <c r="C75" s="493" t="s">
        <v>281</v>
      </c>
      <c r="D75" s="771">
        <f>'Segregated wastage'!D30</f>
        <v>0</v>
      </c>
      <c r="E75" s="784">
        <v>1.0417849725927271</v>
      </c>
      <c r="F75" s="785">
        <f t="shared" si="22"/>
        <v>0</v>
      </c>
      <c r="G75" s="771">
        <f>'Segregated wastage'!E30</f>
        <v>0</v>
      </c>
      <c r="H75" s="786">
        <v>8.8832713178294571E-3</v>
      </c>
      <c r="I75" s="785">
        <f t="shared" si="23"/>
        <v>0</v>
      </c>
      <c r="J75" s="771">
        <f>'Segregated wastage'!F30</f>
        <v>0</v>
      </c>
      <c r="K75" s="786">
        <v>8.8832713178294553E-3</v>
      </c>
      <c r="L75" s="785">
        <f t="shared" si="24"/>
        <v>0</v>
      </c>
      <c r="M75" s="771">
        <f>'Segregated wastage'!G30</f>
        <v>0</v>
      </c>
      <c r="N75" s="787">
        <v>0.44492468571678928</v>
      </c>
      <c r="O75" s="785">
        <f t="shared" si="25"/>
        <v>0</v>
      </c>
      <c r="P75" s="771">
        <f>'Segregated wastage'!H30</f>
        <v>0</v>
      </c>
      <c r="Q75" s="787">
        <v>0.82801354454406162</v>
      </c>
      <c r="R75" s="785">
        <f t="shared" si="26"/>
        <v>0</v>
      </c>
      <c r="S75" s="776">
        <f>'Segregated wastage'!I30</f>
        <v>0</v>
      </c>
      <c r="T75" s="789">
        <v>0.46700799999999998</v>
      </c>
      <c r="U75" s="790">
        <f t="shared" si="27"/>
        <v>0</v>
      </c>
      <c r="V75" s="1336">
        <f>'Segregated wastage'!Q30</f>
        <v>0</v>
      </c>
      <c r="W75" s="789">
        <v>0.62685614522394484</v>
      </c>
      <c r="X75" s="792">
        <f t="shared" si="30"/>
        <v>0</v>
      </c>
      <c r="Y75" s="782">
        <f t="shared" si="28"/>
        <v>0</v>
      </c>
      <c r="Z75" s="793">
        <f t="shared" si="29"/>
        <v>0</v>
      </c>
    </row>
    <row r="76" spans="1:26">
      <c r="C76" s="493" t="s">
        <v>132</v>
      </c>
      <c r="D76" s="771">
        <f>'Segregated wastage'!D31</f>
        <v>0</v>
      </c>
      <c r="E76" s="784">
        <v>1.0417849725927271</v>
      </c>
      <c r="F76" s="785">
        <f t="shared" si="22"/>
        <v>0</v>
      </c>
      <c r="G76" s="771">
        <f>'Segregated wastage'!E31</f>
        <v>0</v>
      </c>
      <c r="H76" s="786">
        <v>8.8832713178294571E-3</v>
      </c>
      <c r="I76" s="785">
        <f t="shared" si="23"/>
        <v>0</v>
      </c>
      <c r="J76" s="771">
        <f>'Segregated wastage'!F31</f>
        <v>0</v>
      </c>
      <c r="K76" s="786">
        <v>8.8832713178294553E-3</v>
      </c>
      <c r="L76" s="785">
        <f t="shared" si="24"/>
        <v>0</v>
      </c>
      <c r="M76" s="771">
        <f>'Segregated wastage'!G31</f>
        <v>0</v>
      </c>
      <c r="N76" s="787">
        <v>0.44492468571678928</v>
      </c>
      <c r="O76" s="785">
        <f t="shared" si="25"/>
        <v>0</v>
      </c>
      <c r="P76" s="771">
        <f>'Segregated wastage'!H31</f>
        <v>0</v>
      </c>
      <c r="Q76" s="787">
        <v>0.82801354454406162</v>
      </c>
      <c r="R76" s="785">
        <f t="shared" si="26"/>
        <v>0</v>
      </c>
      <c r="S76" s="776">
        <f>'Segregated wastage'!I31</f>
        <v>0</v>
      </c>
      <c r="T76" s="789">
        <v>0.46700799999999998</v>
      </c>
      <c r="U76" s="790">
        <f t="shared" si="27"/>
        <v>0</v>
      </c>
      <c r="V76" s="1336">
        <f>'Segregated wastage'!Q31</f>
        <v>0</v>
      </c>
      <c r="W76" s="789">
        <v>0.62685614522394484</v>
      </c>
      <c r="X76" s="792">
        <f t="shared" si="30"/>
        <v>0</v>
      </c>
      <c r="Y76" s="782">
        <f t="shared" si="28"/>
        <v>0</v>
      </c>
      <c r="Z76" s="793">
        <f t="shared" si="29"/>
        <v>0</v>
      </c>
    </row>
    <row r="77" spans="1:26">
      <c r="C77" s="493" t="s">
        <v>282</v>
      </c>
      <c r="D77" s="771">
        <f>'Segregated wastage'!D32</f>
        <v>0</v>
      </c>
      <c r="E77" s="784">
        <v>1.0417849725927271</v>
      </c>
      <c r="F77" s="785">
        <f t="shared" si="22"/>
        <v>0</v>
      </c>
      <c r="G77" s="771">
        <f>'Segregated wastage'!E32</f>
        <v>0</v>
      </c>
      <c r="H77" s="786">
        <v>8.8832713178294571E-3</v>
      </c>
      <c r="I77" s="785">
        <f t="shared" si="23"/>
        <v>0</v>
      </c>
      <c r="J77" s="771">
        <f>'Segregated wastage'!F32</f>
        <v>0</v>
      </c>
      <c r="K77" s="786">
        <v>8.8832713178294553E-3</v>
      </c>
      <c r="L77" s="785">
        <f t="shared" si="24"/>
        <v>0</v>
      </c>
      <c r="M77" s="771">
        <f>'Segregated wastage'!G32</f>
        <v>0</v>
      </c>
      <c r="N77" s="787">
        <v>0.44492468571678928</v>
      </c>
      <c r="O77" s="785">
        <f t="shared" si="25"/>
        <v>0</v>
      </c>
      <c r="P77" s="771">
        <f>'Segregated wastage'!H32</f>
        <v>0</v>
      </c>
      <c r="Q77" s="787">
        <v>0.82801354454406162</v>
      </c>
      <c r="R77" s="785">
        <f t="shared" si="26"/>
        <v>0</v>
      </c>
      <c r="S77" s="776">
        <f>'Segregated wastage'!I32</f>
        <v>0</v>
      </c>
      <c r="T77" s="789">
        <v>0.46700799999999998</v>
      </c>
      <c r="U77" s="790">
        <f t="shared" si="27"/>
        <v>0</v>
      </c>
      <c r="V77" s="1336">
        <f>'Segregated wastage'!Q32</f>
        <v>0</v>
      </c>
      <c r="W77" s="789">
        <v>0.62685614522394484</v>
      </c>
      <c r="X77" s="792">
        <f t="shared" si="30"/>
        <v>0</v>
      </c>
      <c r="Y77" s="782">
        <f t="shared" si="28"/>
        <v>0</v>
      </c>
      <c r="Z77" s="793">
        <f t="shared" si="29"/>
        <v>0</v>
      </c>
    </row>
    <row r="78" spans="1:26">
      <c r="C78" s="493" t="s">
        <v>283</v>
      </c>
      <c r="D78" s="771">
        <f>'Segregated wastage'!D33</f>
        <v>0</v>
      </c>
      <c r="E78" s="784">
        <v>1.0417849725927271</v>
      </c>
      <c r="F78" s="785">
        <f t="shared" si="22"/>
        <v>0</v>
      </c>
      <c r="G78" s="771">
        <f>'Segregated wastage'!E33</f>
        <v>0</v>
      </c>
      <c r="H78" s="786">
        <v>8.8832713178294571E-3</v>
      </c>
      <c r="I78" s="785">
        <f t="shared" si="23"/>
        <v>0</v>
      </c>
      <c r="J78" s="771">
        <f>'Segregated wastage'!F33</f>
        <v>0</v>
      </c>
      <c r="K78" s="786">
        <v>8.8832713178294553E-3</v>
      </c>
      <c r="L78" s="785">
        <f t="shared" si="24"/>
        <v>0</v>
      </c>
      <c r="M78" s="771">
        <f>'Segregated wastage'!G33</f>
        <v>0</v>
      </c>
      <c r="N78" s="787">
        <v>0.44492468571678928</v>
      </c>
      <c r="O78" s="785">
        <f t="shared" si="25"/>
        <v>0</v>
      </c>
      <c r="P78" s="771">
        <f>'Segregated wastage'!H33</f>
        <v>0</v>
      </c>
      <c r="Q78" s="787">
        <v>0.82801354454406162</v>
      </c>
      <c r="R78" s="785">
        <f t="shared" si="26"/>
        <v>0</v>
      </c>
      <c r="S78" s="776">
        <f>'Segregated wastage'!I33</f>
        <v>0</v>
      </c>
      <c r="T78" s="789">
        <v>0.46700799999999998</v>
      </c>
      <c r="U78" s="790">
        <f t="shared" si="27"/>
        <v>0</v>
      </c>
      <c r="V78" s="1336">
        <f>'Segregated wastage'!Q33</f>
        <v>0</v>
      </c>
      <c r="W78" s="789">
        <v>0.62685614522394484</v>
      </c>
      <c r="X78" s="792">
        <f t="shared" si="30"/>
        <v>0</v>
      </c>
      <c r="Y78" s="782">
        <f t="shared" si="28"/>
        <v>0</v>
      </c>
      <c r="Z78" s="793">
        <f t="shared" si="29"/>
        <v>0</v>
      </c>
    </row>
    <row r="79" spans="1:26">
      <c r="C79" s="493" t="s">
        <v>284</v>
      </c>
      <c r="D79" s="771">
        <f>'Segregated wastage'!D34</f>
        <v>0</v>
      </c>
      <c r="E79" s="784">
        <v>1.0417849725927271</v>
      </c>
      <c r="F79" s="785">
        <f t="shared" si="22"/>
        <v>0</v>
      </c>
      <c r="G79" s="771">
        <f>'Segregated wastage'!E34</f>
        <v>0</v>
      </c>
      <c r="H79" s="786">
        <v>8.8832713178294571E-3</v>
      </c>
      <c r="I79" s="785">
        <f t="shared" si="23"/>
        <v>0</v>
      </c>
      <c r="J79" s="771">
        <f>'Segregated wastage'!F34</f>
        <v>0</v>
      </c>
      <c r="K79" s="786">
        <v>8.8832713178294553E-3</v>
      </c>
      <c r="L79" s="785">
        <f t="shared" si="24"/>
        <v>0</v>
      </c>
      <c r="M79" s="771">
        <f>'Segregated wastage'!G34</f>
        <v>0</v>
      </c>
      <c r="N79" s="787">
        <v>0.44492468571678928</v>
      </c>
      <c r="O79" s="785">
        <f t="shared" si="25"/>
        <v>0</v>
      </c>
      <c r="P79" s="771">
        <f>'Segregated wastage'!H34</f>
        <v>0</v>
      </c>
      <c r="Q79" s="787">
        <v>0.82801354454406162</v>
      </c>
      <c r="R79" s="785">
        <f t="shared" si="26"/>
        <v>0</v>
      </c>
      <c r="S79" s="776">
        <f>'Segregated wastage'!I34</f>
        <v>0</v>
      </c>
      <c r="T79" s="789">
        <v>0.46700799999999998</v>
      </c>
      <c r="U79" s="790">
        <f t="shared" si="27"/>
        <v>0</v>
      </c>
      <c r="V79" s="1336">
        <f>'Segregated wastage'!Q34</f>
        <v>0</v>
      </c>
      <c r="W79" s="789">
        <v>0.62685614522394484</v>
      </c>
      <c r="X79" s="792">
        <f t="shared" si="30"/>
        <v>0</v>
      </c>
      <c r="Y79" s="782">
        <f t="shared" si="28"/>
        <v>0</v>
      </c>
      <c r="Z79" s="793">
        <f t="shared" si="29"/>
        <v>0</v>
      </c>
    </row>
    <row r="80" spans="1:26">
      <c r="C80" s="493" t="s">
        <v>285</v>
      </c>
      <c r="D80" s="771">
        <f>'Segregated wastage'!D35</f>
        <v>0</v>
      </c>
      <c r="E80" s="784">
        <v>1.0417849725927271</v>
      </c>
      <c r="F80" s="785">
        <f t="shared" si="22"/>
        <v>0</v>
      </c>
      <c r="G80" s="771">
        <f>'Segregated wastage'!E35</f>
        <v>0</v>
      </c>
      <c r="H80" s="786">
        <v>8.8832713178294571E-3</v>
      </c>
      <c r="I80" s="785">
        <f t="shared" si="23"/>
        <v>0</v>
      </c>
      <c r="J80" s="771">
        <f>'Segregated wastage'!F35</f>
        <v>0</v>
      </c>
      <c r="K80" s="786">
        <v>8.8832713178294553E-3</v>
      </c>
      <c r="L80" s="785">
        <f t="shared" si="24"/>
        <v>0</v>
      </c>
      <c r="M80" s="771">
        <f>'Segregated wastage'!G35</f>
        <v>0</v>
      </c>
      <c r="N80" s="787">
        <v>0.44492468571678928</v>
      </c>
      <c r="O80" s="785">
        <f t="shared" si="25"/>
        <v>0</v>
      </c>
      <c r="P80" s="771">
        <f>'Segregated wastage'!H35</f>
        <v>0</v>
      </c>
      <c r="Q80" s="787">
        <v>0.82801354454406162</v>
      </c>
      <c r="R80" s="785">
        <f t="shared" si="26"/>
        <v>0</v>
      </c>
      <c r="S80" s="776">
        <f>'Segregated wastage'!I35</f>
        <v>0</v>
      </c>
      <c r="T80" s="789">
        <v>0.46700799999999998</v>
      </c>
      <c r="U80" s="790">
        <f t="shared" si="27"/>
        <v>0</v>
      </c>
      <c r="V80" s="1336">
        <f>'Segregated wastage'!Q35</f>
        <v>0</v>
      </c>
      <c r="W80" s="789">
        <v>0.62685614522394484</v>
      </c>
      <c r="X80" s="792">
        <f t="shared" si="30"/>
        <v>0</v>
      </c>
      <c r="Y80" s="782">
        <f t="shared" si="28"/>
        <v>0</v>
      </c>
      <c r="Z80" s="793">
        <f t="shared" si="29"/>
        <v>0</v>
      </c>
    </row>
    <row r="81" spans="3:26">
      <c r="C81" s="493" t="s">
        <v>286</v>
      </c>
      <c r="D81" s="771">
        <f>'Segregated wastage'!D36</f>
        <v>0</v>
      </c>
      <c r="E81" s="784">
        <v>1.0417849725927271</v>
      </c>
      <c r="F81" s="785">
        <f t="shared" si="22"/>
        <v>0</v>
      </c>
      <c r="G81" s="771">
        <f>'Segregated wastage'!E36</f>
        <v>0</v>
      </c>
      <c r="H81" s="786">
        <v>8.8832713178294571E-3</v>
      </c>
      <c r="I81" s="785">
        <f t="shared" si="23"/>
        <v>0</v>
      </c>
      <c r="J81" s="771">
        <f>'Segregated wastage'!F36</f>
        <v>0</v>
      </c>
      <c r="K81" s="786">
        <v>8.8832713178294553E-3</v>
      </c>
      <c r="L81" s="785">
        <f t="shared" si="24"/>
        <v>0</v>
      </c>
      <c r="M81" s="771">
        <f>'Segregated wastage'!G36</f>
        <v>0</v>
      </c>
      <c r="N81" s="787">
        <v>0.44492468571678928</v>
      </c>
      <c r="O81" s="785">
        <f t="shared" si="25"/>
        <v>0</v>
      </c>
      <c r="P81" s="771">
        <f>'Segregated wastage'!H36</f>
        <v>0</v>
      </c>
      <c r="Q81" s="787">
        <v>0.82801354454406162</v>
      </c>
      <c r="R81" s="785">
        <f t="shared" si="26"/>
        <v>0</v>
      </c>
      <c r="S81" s="776">
        <f>'Segregated wastage'!I36</f>
        <v>0</v>
      </c>
      <c r="T81" s="789">
        <v>0.46700799999999998</v>
      </c>
      <c r="U81" s="790">
        <f t="shared" si="27"/>
        <v>0</v>
      </c>
      <c r="V81" s="1336">
        <f>'Segregated wastage'!Q36</f>
        <v>0</v>
      </c>
      <c r="W81" s="789">
        <v>0.62685614522394484</v>
      </c>
      <c r="X81" s="792">
        <f t="shared" si="30"/>
        <v>0</v>
      </c>
      <c r="Y81" s="782">
        <f t="shared" si="28"/>
        <v>0</v>
      </c>
      <c r="Z81" s="793">
        <f t="shared" si="29"/>
        <v>0</v>
      </c>
    </row>
    <row r="82" spans="3:26">
      <c r="C82" s="493" t="s">
        <v>287</v>
      </c>
      <c r="D82" s="771">
        <f>'Segregated wastage'!D37</f>
        <v>0</v>
      </c>
      <c r="E82" s="784">
        <v>1.0417849725927271</v>
      </c>
      <c r="F82" s="785">
        <f t="shared" si="22"/>
        <v>0</v>
      </c>
      <c r="G82" s="771">
        <f>'Segregated wastage'!E37</f>
        <v>0</v>
      </c>
      <c r="H82" s="786">
        <v>8.8832713178294571E-3</v>
      </c>
      <c r="I82" s="785">
        <f t="shared" si="23"/>
        <v>0</v>
      </c>
      <c r="J82" s="771">
        <f>'Segregated wastage'!F37</f>
        <v>0</v>
      </c>
      <c r="K82" s="786">
        <v>8.8832713178294553E-3</v>
      </c>
      <c r="L82" s="785">
        <f t="shared" si="24"/>
        <v>0</v>
      </c>
      <c r="M82" s="771">
        <f>'Segregated wastage'!G37</f>
        <v>0</v>
      </c>
      <c r="N82" s="787">
        <v>0.44492468571678928</v>
      </c>
      <c r="O82" s="785">
        <f t="shared" si="25"/>
        <v>0</v>
      </c>
      <c r="P82" s="771">
        <f>'Segregated wastage'!H37</f>
        <v>0</v>
      </c>
      <c r="Q82" s="787">
        <v>0.82801354454406162</v>
      </c>
      <c r="R82" s="785">
        <f t="shared" si="26"/>
        <v>0</v>
      </c>
      <c r="S82" s="776">
        <f>'Segregated wastage'!I37</f>
        <v>0</v>
      </c>
      <c r="T82" s="789">
        <v>0.46700799999999998</v>
      </c>
      <c r="U82" s="790">
        <f t="shared" si="27"/>
        <v>0</v>
      </c>
      <c r="V82" s="1336">
        <f>'Segregated wastage'!Q37</f>
        <v>0</v>
      </c>
      <c r="W82" s="789">
        <v>0.62685614522394484</v>
      </c>
      <c r="X82" s="792">
        <f t="shared" si="30"/>
        <v>0</v>
      </c>
      <c r="Y82" s="782">
        <f t="shared" si="28"/>
        <v>0</v>
      </c>
      <c r="Z82" s="793">
        <f t="shared" si="29"/>
        <v>0</v>
      </c>
    </row>
    <row r="83" spans="3:26" ht="15.75" thickBot="1">
      <c r="C83" s="794" t="s">
        <v>288</v>
      </c>
      <c r="D83" s="771">
        <f>'Segregated wastage'!D38</f>
        <v>0</v>
      </c>
      <c r="E83" s="796">
        <v>1.0417849725927271</v>
      </c>
      <c r="F83" s="797">
        <f t="shared" si="22"/>
        <v>0</v>
      </c>
      <c r="G83" s="771">
        <f>'Segregated wastage'!E38</f>
        <v>0</v>
      </c>
      <c r="H83" s="798">
        <v>8.8832713178294571E-3</v>
      </c>
      <c r="I83" s="797">
        <f t="shared" si="23"/>
        <v>0</v>
      </c>
      <c r="J83" s="771">
        <f>'Segregated wastage'!F38</f>
        <v>0</v>
      </c>
      <c r="K83" s="798">
        <v>8.8832713178294553E-3</v>
      </c>
      <c r="L83" s="797">
        <f t="shared" si="24"/>
        <v>0</v>
      </c>
      <c r="M83" s="771">
        <f>'Segregated wastage'!G38</f>
        <v>0</v>
      </c>
      <c r="N83" s="799">
        <v>0.44492468571678928</v>
      </c>
      <c r="O83" s="797">
        <f t="shared" si="25"/>
        <v>0</v>
      </c>
      <c r="P83" s="771">
        <f>'Segregated wastage'!H38</f>
        <v>0</v>
      </c>
      <c r="Q83" s="799">
        <v>0.82801354454406162</v>
      </c>
      <c r="R83" s="797">
        <f t="shared" si="26"/>
        <v>0</v>
      </c>
      <c r="S83" s="776">
        <f>'Segregated wastage'!I38</f>
        <v>0</v>
      </c>
      <c r="T83" s="801">
        <v>0.46700799999999998</v>
      </c>
      <c r="U83" s="802">
        <f t="shared" si="27"/>
        <v>0</v>
      </c>
      <c r="V83" s="1340">
        <f>'Segregated wastage'!Q38</f>
        <v>0</v>
      </c>
      <c r="W83" s="801">
        <v>0.62685614522394484</v>
      </c>
      <c r="X83" s="804">
        <f>V83*W83</f>
        <v>0</v>
      </c>
      <c r="Y83" s="782">
        <f t="shared" si="28"/>
        <v>0</v>
      </c>
      <c r="Z83" s="805">
        <f t="shared" si="29"/>
        <v>0</v>
      </c>
    </row>
    <row r="84" spans="3:26" ht="15.75" thickBot="1">
      <c r="C84" s="806" t="s">
        <v>334</v>
      </c>
      <c r="D84" s="807">
        <f>SUM(D72:D83)</f>
        <v>4537.7</v>
      </c>
      <c r="E84" s="808"/>
      <c r="F84" s="809">
        <f>SUM(F72:F83)</f>
        <v>4727.3076701340178</v>
      </c>
      <c r="G84" s="807">
        <f t="shared" ref="G84" si="31">SUM(G72:G83)</f>
        <v>2504.5</v>
      </c>
      <c r="H84" s="808"/>
      <c r="I84" s="809">
        <f>SUM(I72:I83)</f>
        <v>22.248153015503874</v>
      </c>
      <c r="J84" s="807">
        <f t="shared" ref="J84" si="32">SUM(J72:J83)</f>
        <v>3908</v>
      </c>
      <c r="K84" s="808"/>
      <c r="L84" s="809">
        <f>SUM(L72:L83)</f>
        <v>34.715824310077508</v>
      </c>
      <c r="M84" s="807">
        <f t="shared" ref="M84" si="33">SUM(M72:M83)</f>
        <v>12433.1</v>
      </c>
      <c r="N84" s="808"/>
      <c r="O84" s="809">
        <f>SUM(O72:O83)</f>
        <v>5531.7931099854131</v>
      </c>
      <c r="P84" s="807">
        <f t="shared" ref="P84" si="34">SUM(P72:P83)</f>
        <v>0</v>
      </c>
      <c r="Q84" s="808"/>
      <c r="R84" s="809">
        <f>SUM(R72:R83)</f>
        <v>0</v>
      </c>
      <c r="S84" s="807">
        <f>SUM(S72:S83)</f>
        <v>19634</v>
      </c>
      <c r="T84" s="808"/>
      <c r="U84" s="810">
        <f>SUM(U72:U83)</f>
        <v>9169.2350719999995</v>
      </c>
      <c r="V84" s="812">
        <f>SUM(V72:V83)</f>
        <v>467</v>
      </c>
      <c r="W84" s="1339"/>
      <c r="X84" s="809">
        <f>SUM(X72:X83)</f>
        <v>292.74181981958225</v>
      </c>
      <c r="Y84" s="811">
        <f>SUM(Y72:Y83)</f>
        <v>19778.041649264593</v>
      </c>
      <c r="Z84" s="812">
        <f>SUM(Z72:Z83)</f>
        <v>19.778041649264594</v>
      </c>
    </row>
    <row r="86" spans="3:26" ht="15.75" thickBot="1"/>
    <row r="87" spans="3:26" ht="30.75" thickBot="1">
      <c r="C87" s="492" t="s">
        <v>121</v>
      </c>
      <c r="D87" s="813" t="s">
        <v>860</v>
      </c>
      <c r="E87" s="814" t="s">
        <v>861</v>
      </c>
      <c r="G87" s="815" t="s">
        <v>862</v>
      </c>
      <c r="H87" s="816" t="s">
        <v>863</v>
      </c>
    </row>
    <row r="88" spans="3:26">
      <c r="C88" s="529" t="s">
        <v>127</v>
      </c>
      <c r="D88" s="817">
        <f>J57+Y72</f>
        <v>36821.069834264592</v>
      </c>
      <c r="E88" s="818">
        <f>D88*0.001</f>
        <v>36.821069834264591</v>
      </c>
      <c r="G88" s="819">
        <f>D88+'Cat-3'!D148</f>
        <v>36846.66983426459</v>
      </c>
      <c r="H88" s="820">
        <f>E88+'Cat-3'!E148</f>
        <v>36.821069834264591</v>
      </c>
    </row>
    <row r="89" spans="3:26">
      <c r="C89" s="569" t="s">
        <v>128</v>
      </c>
      <c r="D89" s="821">
        <f t="shared" ref="D89:D99" si="35">J58+Y73</f>
        <v>0</v>
      </c>
      <c r="E89" s="571">
        <f t="shared" ref="E89:E100" si="36">D89*0.001</f>
        <v>0</v>
      </c>
      <c r="G89" s="822">
        <f>D89+'Cat-3'!D149</f>
        <v>25.6</v>
      </c>
      <c r="H89" s="823">
        <f>E89+'Cat-3'!E149</f>
        <v>0</v>
      </c>
      <c r="I89" s="530"/>
      <c r="J89" s="530"/>
      <c r="K89" s="530"/>
      <c r="L89" s="530"/>
      <c r="M89" s="530"/>
      <c r="N89" s="530"/>
      <c r="O89" s="530"/>
    </row>
    <row r="90" spans="3:26">
      <c r="C90" s="569" t="s">
        <v>129</v>
      </c>
      <c r="D90" s="821">
        <f t="shared" si="35"/>
        <v>0</v>
      </c>
      <c r="E90" s="571">
        <f t="shared" si="36"/>
        <v>0</v>
      </c>
      <c r="G90" s="822">
        <f>D90+'Cat-3'!D150</f>
        <v>25.6</v>
      </c>
      <c r="H90" s="823">
        <f>E90+'Cat-3'!E150</f>
        <v>0</v>
      </c>
    </row>
    <row r="91" spans="3:26">
      <c r="C91" s="569" t="s">
        <v>130</v>
      </c>
      <c r="D91" s="821">
        <f t="shared" si="35"/>
        <v>0</v>
      </c>
      <c r="E91" s="571">
        <f t="shared" si="36"/>
        <v>0</v>
      </c>
      <c r="G91" s="822">
        <f>D91+'Cat-3'!D151</f>
        <v>25.6</v>
      </c>
      <c r="H91" s="823">
        <f>E91+'Cat-3'!E151</f>
        <v>0</v>
      </c>
    </row>
    <row r="92" spans="3:26">
      <c r="C92" s="569" t="s">
        <v>132</v>
      </c>
      <c r="D92" s="821">
        <f t="shared" si="35"/>
        <v>0</v>
      </c>
      <c r="E92" s="571">
        <f t="shared" si="36"/>
        <v>0</v>
      </c>
      <c r="G92" s="822">
        <f>D92+'Cat-3'!D152</f>
        <v>25.6</v>
      </c>
      <c r="H92" s="823">
        <f>E92+'Cat-3'!E152</f>
        <v>0</v>
      </c>
    </row>
    <row r="93" spans="3:26">
      <c r="C93" s="569" t="s">
        <v>134</v>
      </c>
      <c r="D93" s="821">
        <f t="shared" si="35"/>
        <v>0</v>
      </c>
      <c r="E93" s="571">
        <f t="shared" si="36"/>
        <v>0</v>
      </c>
      <c r="G93" s="822">
        <f>D93+'Cat-3'!D153</f>
        <v>25.6</v>
      </c>
      <c r="H93" s="823">
        <f>E93+'Cat-3'!E153</f>
        <v>0</v>
      </c>
    </row>
    <row r="94" spans="3:26">
      <c r="C94" s="569" t="s">
        <v>136</v>
      </c>
      <c r="D94" s="821">
        <f t="shared" si="35"/>
        <v>0</v>
      </c>
      <c r="E94" s="571">
        <f t="shared" si="36"/>
        <v>0</v>
      </c>
      <c r="G94" s="822">
        <f>D94+'Cat-3'!D154</f>
        <v>25.6</v>
      </c>
      <c r="H94" s="823">
        <f>E94+'Cat-3'!E154</f>
        <v>0</v>
      </c>
    </row>
    <row r="95" spans="3:26">
      <c r="C95" s="569" t="s">
        <v>138</v>
      </c>
      <c r="D95" s="821">
        <f t="shared" si="35"/>
        <v>0</v>
      </c>
      <c r="E95" s="571">
        <f t="shared" si="36"/>
        <v>0</v>
      </c>
      <c r="G95" s="822">
        <f>D95+'Cat-3'!D155</f>
        <v>25.6</v>
      </c>
      <c r="H95" s="823">
        <f>E95+'Cat-3'!E155</f>
        <v>0</v>
      </c>
    </row>
    <row r="96" spans="3:26">
      <c r="C96" s="569" t="s">
        <v>139</v>
      </c>
      <c r="D96" s="821">
        <f t="shared" si="35"/>
        <v>0</v>
      </c>
      <c r="E96" s="571">
        <f t="shared" si="36"/>
        <v>0</v>
      </c>
      <c r="G96" s="822">
        <f>D96+'Cat-3'!D156</f>
        <v>25.6</v>
      </c>
      <c r="H96" s="823">
        <f>E96+'Cat-3'!E156</f>
        <v>0</v>
      </c>
    </row>
    <row r="97" spans="3:8">
      <c r="C97" s="569" t="s">
        <v>140</v>
      </c>
      <c r="D97" s="821">
        <f t="shared" si="35"/>
        <v>0</v>
      </c>
      <c r="E97" s="571">
        <f t="shared" si="36"/>
        <v>0</v>
      </c>
      <c r="G97" s="822">
        <f>D97+'Cat-3'!D157</f>
        <v>25.6</v>
      </c>
      <c r="H97" s="823">
        <f>E97+'Cat-3'!E157</f>
        <v>0</v>
      </c>
    </row>
    <row r="98" spans="3:8">
      <c r="C98" s="569" t="s">
        <v>142</v>
      </c>
      <c r="D98" s="821">
        <f t="shared" si="35"/>
        <v>0</v>
      </c>
      <c r="E98" s="571">
        <f t="shared" si="36"/>
        <v>0</v>
      </c>
      <c r="G98" s="822">
        <f>D98+'Cat-3'!D158</f>
        <v>25.6</v>
      </c>
      <c r="H98" s="823">
        <f>E98+'Cat-3'!E158</f>
        <v>0</v>
      </c>
    </row>
    <row r="99" spans="3:8" ht="15.75" thickBot="1">
      <c r="C99" s="573" t="s">
        <v>144</v>
      </c>
      <c r="D99" s="824">
        <f t="shared" si="35"/>
        <v>0</v>
      </c>
      <c r="E99" s="575">
        <f t="shared" si="36"/>
        <v>0</v>
      </c>
      <c r="G99" s="825">
        <f>D99+'Cat-3'!D159</f>
        <v>0</v>
      </c>
      <c r="H99" s="826">
        <f>E99+'Cat-3'!E159</f>
        <v>0</v>
      </c>
    </row>
    <row r="100" spans="3:8" ht="15.75" thickBot="1">
      <c r="C100" s="827" t="s">
        <v>864</v>
      </c>
      <c r="D100" s="828">
        <f>SUM(D88:D99)</f>
        <v>36821.069834264592</v>
      </c>
      <c r="E100" s="829">
        <f t="shared" si="36"/>
        <v>36.821069834264591</v>
      </c>
      <c r="G100" s="830">
        <f>SUM(G88:G99)</f>
        <v>37102.669834264576</v>
      </c>
      <c r="H100" s="831">
        <f>SUM(H88:H99)</f>
        <v>36.821069834264591</v>
      </c>
    </row>
  </sheetData>
  <mergeCells count="7">
    <mergeCell ref="C55:K55"/>
    <mergeCell ref="C70:Z70"/>
    <mergeCell ref="C4:K4"/>
    <mergeCell ref="C19:Z19"/>
    <mergeCell ref="C2:K2"/>
    <mergeCell ref="A52:O52"/>
    <mergeCell ref="C53:K53"/>
  </mergeCell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F8B88-8EC9-46D8-ADFD-8680D52DF2FD}">
  <dimension ref="A1:S31"/>
  <sheetViews>
    <sheetView workbookViewId="0">
      <pane ySplit="1" topLeftCell="A2" activePane="bottomLeft" state="frozen"/>
      <selection pane="bottomLeft" activeCell="A2" sqref="A2"/>
    </sheetView>
  </sheetViews>
  <sheetFormatPr defaultRowHeight="15"/>
  <cols>
    <col min="1" max="1" width="32.28515625" customWidth="1"/>
    <col min="2" max="2" width="1.140625" customWidth="1"/>
    <col min="3" max="3" width="14.42578125" bestFit="1" customWidth="1"/>
    <col min="5" max="5" width="9.42578125" bestFit="1" customWidth="1"/>
    <col min="11" max="11" width="9.42578125" bestFit="1" customWidth="1"/>
    <col min="12" max="12" width="10.85546875" bestFit="1" customWidth="1"/>
    <col min="14" max="14" width="10.42578125" bestFit="1" customWidth="1"/>
    <col min="15" max="15" width="10.140625" bestFit="1" customWidth="1"/>
    <col min="16" max="16" width="10.5703125" bestFit="1" customWidth="1"/>
    <col min="17" max="17" width="10.7109375" bestFit="1" customWidth="1"/>
    <col min="18" max="18" width="9" bestFit="1" customWidth="1"/>
  </cols>
  <sheetData>
    <row r="1" spans="1:19" ht="50.1" customHeight="1"/>
    <row r="2" spans="1:19" ht="18.75">
      <c r="C2" s="2057" t="s">
        <v>715</v>
      </c>
      <c r="D2" s="2057"/>
      <c r="E2" s="2057"/>
      <c r="F2" s="2057"/>
      <c r="G2" s="2057"/>
      <c r="H2" s="2057"/>
      <c r="I2" s="2057"/>
      <c r="J2" s="2057"/>
      <c r="K2" s="2057"/>
    </row>
    <row r="3" spans="1:19" ht="15.75" thickBot="1"/>
    <row r="4" spans="1:19" ht="15.75" thickBot="1">
      <c r="C4" s="832" t="s">
        <v>866</v>
      </c>
      <c r="D4" s="833" t="s">
        <v>127</v>
      </c>
      <c r="E4" s="834" t="s">
        <v>128</v>
      </c>
      <c r="F4" s="834" t="s">
        <v>129</v>
      </c>
      <c r="G4" s="834" t="s">
        <v>130</v>
      </c>
      <c r="H4" s="834" t="s">
        <v>132</v>
      </c>
      <c r="I4" s="834" t="s">
        <v>134</v>
      </c>
      <c r="J4" s="834" t="s">
        <v>136</v>
      </c>
      <c r="K4" s="834" t="s">
        <v>138</v>
      </c>
      <c r="L4" s="834" t="s">
        <v>139</v>
      </c>
      <c r="M4" s="834" t="s">
        <v>140</v>
      </c>
      <c r="N4" s="834" t="s">
        <v>142</v>
      </c>
      <c r="O4" s="834" t="s">
        <v>144</v>
      </c>
    </row>
    <row r="5" spans="1:19" ht="15.75" thickBot="1">
      <c r="A5" s="880" t="s">
        <v>338</v>
      </c>
      <c r="C5" s="835" t="s">
        <v>867</v>
      </c>
      <c r="D5" s="836" t="s">
        <v>868</v>
      </c>
      <c r="E5" s="836" t="s">
        <v>868</v>
      </c>
      <c r="F5" s="836" t="s">
        <v>868</v>
      </c>
      <c r="G5" s="836" t="s">
        <v>868</v>
      </c>
      <c r="H5" s="836" t="s">
        <v>868</v>
      </c>
      <c r="I5" s="836" t="s">
        <v>868</v>
      </c>
      <c r="J5" s="836" t="s">
        <v>868</v>
      </c>
      <c r="K5" s="836" t="s">
        <v>868</v>
      </c>
      <c r="L5" s="836" t="s">
        <v>868</v>
      </c>
      <c r="M5" s="836" t="s">
        <v>868</v>
      </c>
      <c r="N5" s="836" t="s">
        <v>868</v>
      </c>
      <c r="O5" s="836" t="s">
        <v>868</v>
      </c>
      <c r="P5" s="837" t="s">
        <v>869</v>
      </c>
      <c r="Q5" s="838" t="s">
        <v>295</v>
      </c>
      <c r="R5" s="839" t="s">
        <v>870</v>
      </c>
    </row>
    <row r="6" spans="1:19">
      <c r="A6" t="s">
        <v>871</v>
      </c>
      <c r="C6" s="840" t="s">
        <v>872</v>
      </c>
      <c r="D6" s="841">
        <f>'Cat-1'!E67</f>
        <v>203.64004380393493</v>
      </c>
      <c r="E6" s="842">
        <f>'Cat-1'!E68</f>
        <v>198.22882304093497</v>
      </c>
      <c r="F6" s="843">
        <f>'Cat-1'!E69</f>
        <v>198.17633629493497</v>
      </c>
      <c r="G6" s="844">
        <f>'Cat-1'!E70</f>
        <v>174.2521653002776</v>
      </c>
      <c r="H6" s="844">
        <f>'Cat-1'!E71</f>
        <v>235.14083762087762</v>
      </c>
      <c r="I6" s="844">
        <f>'Cat-1'!E72</f>
        <v>219.73004861737766</v>
      </c>
      <c r="J6" s="845">
        <f>'Cat-1'!E73</f>
        <v>201.78477129796619</v>
      </c>
      <c r="K6" s="845">
        <f>'Cat-1'!E74</f>
        <v>195.11436335334292</v>
      </c>
      <c r="L6" s="845">
        <f>'Cat-1'!E75</f>
        <v>241.01814053618943</v>
      </c>
      <c r="M6" s="844">
        <f>'Cat-1'!E76</f>
        <v>215.81645773657104</v>
      </c>
      <c r="N6" s="845">
        <f>'Cat-1'!E77</f>
        <v>272.35407322549281</v>
      </c>
      <c r="O6" s="844">
        <f>'Cat-1'!E78</f>
        <v>208.99595858735933</v>
      </c>
      <c r="P6" s="502">
        <f>SUM(D6:O6)</f>
        <v>2564.2520194152598</v>
      </c>
    </row>
    <row r="7" spans="1:19">
      <c r="A7" t="s">
        <v>873</v>
      </c>
      <c r="C7" s="846" t="s">
        <v>874</v>
      </c>
      <c r="D7" s="847">
        <f>'Cat-2'!J6</f>
        <v>165.30391420000001</v>
      </c>
      <c r="E7" s="848">
        <f>'Cat-2'!J7</f>
        <v>149.77785680000002</v>
      </c>
      <c r="F7" s="849">
        <f>'Cat-2'!J8</f>
        <v>173.04323160000001</v>
      </c>
      <c r="G7" s="850">
        <f>'Cat-2'!J9</f>
        <v>163.89261279999999</v>
      </c>
      <c r="H7" s="850">
        <f>'Cat-2'!J10</f>
        <v>220.43200999999999</v>
      </c>
      <c r="I7" s="850">
        <f>'Cat-2'!J11</f>
        <v>197.28519840000004</v>
      </c>
      <c r="J7" s="851">
        <f>'Cat-2'!J12</f>
        <v>183.60724220000006</v>
      </c>
      <c r="K7" s="851">
        <f>'Cat-2'!J13</f>
        <v>187.38899020000002</v>
      </c>
      <c r="L7" s="851">
        <f>'Cat-2'!J14</f>
        <v>183.67688199999998</v>
      </c>
      <c r="M7" s="850">
        <f>'Cat-2'!J15</f>
        <v>199.8878536</v>
      </c>
      <c r="N7" s="851">
        <f>'Cat-2'!J16</f>
        <v>190.69860260000004</v>
      </c>
      <c r="O7" s="850">
        <f>'Cat-2'!J17</f>
        <v>150.92420000000001</v>
      </c>
      <c r="P7" s="502">
        <f t="shared" ref="P7:P8" si="0">SUM(D7:O7)</f>
        <v>2165.9185944000001</v>
      </c>
    </row>
    <row r="8" spans="1:19">
      <c r="C8" s="846" t="s">
        <v>875</v>
      </c>
      <c r="D8" s="847">
        <f>'Cat-3'!E97</f>
        <v>14.280357476617288</v>
      </c>
      <c r="E8" s="848">
        <f>'Cat-3'!E98</f>
        <v>14.696190693603487</v>
      </c>
      <c r="F8" s="849">
        <f>'Cat-3'!E99</f>
        <v>18.679843679881579</v>
      </c>
      <c r="G8" s="850">
        <f>'Cat-3'!E100</f>
        <v>19.594477496664272</v>
      </c>
      <c r="H8" s="850">
        <f>'Cat-3'!E101</f>
        <v>22.018372902580467</v>
      </c>
      <c r="I8" s="850">
        <f>'Cat-3'!E102</f>
        <v>18.942331707102792</v>
      </c>
      <c r="J8" s="850">
        <f>'Cat-3'!E103</f>
        <v>16.044460769469875</v>
      </c>
      <c r="K8" s="850">
        <f>'Cat-3'!E104</f>
        <v>26.788598815909079</v>
      </c>
      <c r="L8" s="850">
        <f>'Cat-3'!E105</f>
        <v>16.253311610492268</v>
      </c>
      <c r="M8" s="850">
        <f>'Cat-3'!E106</f>
        <v>15.81588652759096</v>
      </c>
      <c r="N8" s="851">
        <f>'Cat-3'!E107</f>
        <v>19.032199974154281</v>
      </c>
      <c r="O8" s="850">
        <f>'Cat-3'!E108</f>
        <v>25.475120602136002</v>
      </c>
      <c r="P8" s="502">
        <f t="shared" si="0"/>
        <v>227.62115225620232</v>
      </c>
    </row>
    <row r="9" spans="1:19" ht="15.75" thickBot="1">
      <c r="C9" s="852" t="s">
        <v>876</v>
      </c>
      <c r="D9" s="853">
        <f>'Cat-4'!E37</f>
        <v>31.915161220540714</v>
      </c>
      <c r="E9" s="854">
        <f>'Cat-4'!E38</f>
        <v>30.698479153988178</v>
      </c>
      <c r="F9" s="855">
        <f>'Cat-4'!E39</f>
        <v>32.709231771295933</v>
      </c>
      <c r="G9" s="856">
        <f>'Cat-4'!E40</f>
        <v>35.026402997353685</v>
      </c>
      <c r="H9" s="856">
        <f>'Cat-4'!E41</f>
        <v>39.67724049569609</v>
      </c>
      <c r="I9" s="856">
        <f>'Cat-4'!E42</f>
        <v>46.790709602427057</v>
      </c>
      <c r="J9" s="857">
        <f>'Cat-4'!E43</f>
        <v>40.799212367757605</v>
      </c>
      <c r="K9" s="857">
        <f>'Cat-4'!E44</f>
        <v>46.196720638804813</v>
      </c>
      <c r="L9" s="857">
        <f>'Cat-4'!E45</f>
        <v>43.249803785188682</v>
      </c>
      <c r="M9" s="856">
        <f>'Cat-4'!E46</f>
        <v>47.330767559666874</v>
      </c>
      <c r="N9" s="857">
        <f>'Cat-4'!E47</f>
        <v>33.268872108414357</v>
      </c>
      <c r="O9" s="856">
        <f>'Cat-4'!E48</f>
        <v>43.351075158303061</v>
      </c>
      <c r="P9" s="502">
        <f>SUM(D9:O9)</f>
        <v>471.01367685943706</v>
      </c>
    </row>
    <row r="10" spans="1:19" ht="15.75" thickBot="1">
      <c r="C10" s="858" t="s">
        <v>877</v>
      </c>
      <c r="D10" s="859">
        <f>SUM(D6:D9)</f>
        <v>415.13947670109292</v>
      </c>
      <c r="E10" s="860">
        <f t="shared" ref="E10:O10" si="1">SUM(E6:E9)</f>
        <v>393.40134968852669</v>
      </c>
      <c r="F10" s="861">
        <f t="shared" si="1"/>
        <v>422.6086433461125</v>
      </c>
      <c r="G10" s="861">
        <f t="shared" si="1"/>
        <v>392.76565859429553</v>
      </c>
      <c r="H10" s="861">
        <f t="shared" si="1"/>
        <v>517.26846101915419</v>
      </c>
      <c r="I10" s="861">
        <f t="shared" si="1"/>
        <v>482.74828832690753</v>
      </c>
      <c r="J10" s="861">
        <f t="shared" si="1"/>
        <v>442.2356866351937</v>
      </c>
      <c r="K10" s="861">
        <f t="shared" si="1"/>
        <v>455.48867300805688</v>
      </c>
      <c r="L10" s="861">
        <f t="shared" si="1"/>
        <v>484.19813793187041</v>
      </c>
      <c r="M10" s="861">
        <f t="shared" si="1"/>
        <v>478.85096542382888</v>
      </c>
      <c r="N10" s="861">
        <f t="shared" si="1"/>
        <v>515.35374790806156</v>
      </c>
      <c r="O10" s="861">
        <f t="shared" si="1"/>
        <v>428.74635434779839</v>
      </c>
      <c r="P10" s="862">
        <f>SUM(D10:O10)</f>
        <v>5428.8054429308995</v>
      </c>
      <c r="Q10" s="863">
        <f>SUM(D13:O13)</f>
        <v>2009553.5217083334</v>
      </c>
      <c r="R10" s="864">
        <f>P10/Q10</f>
        <v>2.7014983100902131E-3</v>
      </c>
      <c r="S10" t="s">
        <v>878</v>
      </c>
    </row>
    <row r="11" spans="1:19" ht="15.75" thickBot="1">
      <c r="C11" s="865" t="s">
        <v>879</v>
      </c>
      <c r="D11" s="866">
        <f t="shared" ref="D11:O11" si="2">D10*1000</f>
        <v>415139.47670109291</v>
      </c>
      <c r="E11" s="867">
        <f t="shared" si="2"/>
        <v>393401.34968852671</v>
      </c>
      <c r="F11" s="868">
        <f t="shared" si="2"/>
        <v>422608.64334611251</v>
      </c>
      <c r="G11" s="868">
        <f t="shared" si="2"/>
        <v>392765.65859429556</v>
      </c>
      <c r="H11" s="868">
        <f t="shared" si="2"/>
        <v>517268.46101915417</v>
      </c>
      <c r="I11" s="868">
        <f t="shared" si="2"/>
        <v>482748.28832690755</v>
      </c>
      <c r="J11" s="869">
        <f t="shared" si="2"/>
        <v>442235.68663519371</v>
      </c>
      <c r="K11" s="869">
        <f t="shared" si="2"/>
        <v>455488.67300805688</v>
      </c>
      <c r="L11" s="869">
        <f t="shared" si="2"/>
        <v>484198.13793187041</v>
      </c>
      <c r="M11" s="868">
        <f t="shared" si="2"/>
        <v>478850.96542382886</v>
      </c>
      <c r="N11" s="869">
        <f t="shared" si="2"/>
        <v>515353.74790806154</v>
      </c>
      <c r="O11" s="868">
        <f t="shared" si="2"/>
        <v>428746.35434779839</v>
      </c>
      <c r="P11" s="862">
        <f>SUM(D11:O11)</f>
        <v>5428805.4429308986</v>
      </c>
      <c r="Q11" s="863">
        <f>SUM(D13:O13)</f>
        <v>2009553.5217083334</v>
      </c>
      <c r="R11" s="870">
        <f>P11/Q11</f>
        <v>2.701498310090213</v>
      </c>
      <c r="S11" t="s">
        <v>880</v>
      </c>
    </row>
    <row r="12" spans="1:19" ht="15.75" thickBot="1"/>
    <row r="13" spans="1:19" ht="15.75" thickBot="1">
      <c r="C13" s="871" t="s">
        <v>295</v>
      </c>
      <c r="D13" s="872">
        <f>'Production-Ciospi'!Y5</f>
        <v>157258.49583333332</v>
      </c>
      <c r="E13" s="872">
        <f>'Production-Ciospi'!Y6</f>
        <v>162692.98000000001</v>
      </c>
      <c r="F13" s="872">
        <f>'Production-Ciospi'!Y7</f>
        <v>150371.86333333334</v>
      </c>
      <c r="G13" s="872">
        <f>'Production-Ciospi'!Y8</f>
        <v>175263.78333333335</v>
      </c>
      <c r="H13" s="872">
        <f>'Production-Ciospi'!Y9</f>
        <v>211660.26333333334</v>
      </c>
      <c r="I13" s="872">
        <f>'Production-Ciospi'!Y10</f>
        <v>194768.66666666666</v>
      </c>
      <c r="J13" s="872">
        <f>'Production-Ciospi'!Y11</f>
        <v>175411.07666666666</v>
      </c>
      <c r="K13" s="872">
        <f>'Production-Ciospi'!Y12</f>
        <v>160336.92333333334</v>
      </c>
      <c r="L13" s="872">
        <f>'Production-Ciospi'!Y13</f>
        <v>131074.92462499999</v>
      </c>
      <c r="M13" s="872">
        <f>'Production-Ciospi'!Y14</f>
        <v>157888.54999999999</v>
      </c>
      <c r="N13" s="873">
        <f>'Production-Ciospi'!Y15</f>
        <v>176827.69500000001</v>
      </c>
      <c r="O13" s="874">
        <f>'Production-Ciospi'!Y16</f>
        <v>155998.29958333331</v>
      </c>
    </row>
    <row r="14" spans="1:19" ht="15.75" thickBot="1">
      <c r="C14" s="875" t="s">
        <v>880</v>
      </c>
      <c r="D14" s="876">
        <f>D11/D13</f>
        <v>2.63985404732008</v>
      </c>
      <c r="E14" s="877">
        <f t="shared" ref="E14:N14" si="3">E11/E13</f>
        <v>2.4180597693184223</v>
      </c>
      <c r="F14" s="877">
        <f t="shared" si="3"/>
        <v>2.8104236655583938</v>
      </c>
      <c r="G14" s="877">
        <f t="shared" si="3"/>
        <v>2.2409972620943392</v>
      </c>
      <c r="H14" s="877">
        <f t="shared" si="3"/>
        <v>2.4438619364492311</v>
      </c>
      <c r="I14" s="877">
        <f t="shared" si="3"/>
        <v>2.4785726399878194</v>
      </c>
      <c r="J14" s="877">
        <f t="shared" si="3"/>
        <v>2.5211388872298719</v>
      </c>
      <c r="K14" s="877">
        <f t="shared" si="3"/>
        <v>2.8408220860089486</v>
      </c>
      <c r="L14" s="877">
        <f t="shared" si="3"/>
        <v>3.6940561996670342</v>
      </c>
      <c r="M14" s="877">
        <f t="shared" si="3"/>
        <v>3.0328416178616431</v>
      </c>
      <c r="N14" s="877">
        <f t="shared" si="3"/>
        <v>2.9144402289927576</v>
      </c>
      <c r="O14" s="878">
        <f>O11/O13</f>
        <v>2.7484040242295382</v>
      </c>
      <c r="P14" s="592"/>
    </row>
    <row r="17" spans="1:19" ht="21">
      <c r="A17" s="2096">
        <v>2024</v>
      </c>
      <c r="B17" s="2096"/>
      <c r="C17" s="2096"/>
      <c r="D17" s="2096"/>
      <c r="E17" s="2096"/>
      <c r="F17" s="2096"/>
      <c r="G17" s="2096"/>
      <c r="H17" s="2096"/>
      <c r="I17" s="2096"/>
      <c r="J17" s="2096"/>
      <c r="K17" s="2096"/>
      <c r="L17" s="2096"/>
      <c r="M17" s="2096"/>
      <c r="N17" s="2096"/>
      <c r="O17" s="2096"/>
    </row>
    <row r="18" spans="1:19">
      <c r="C18" s="502"/>
      <c r="D18" s="502"/>
      <c r="E18" s="502"/>
      <c r="F18" s="502"/>
      <c r="G18" s="502"/>
    </row>
    <row r="19" spans="1:19" ht="18.75">
      <c r="C19" s="2057" t="s">
        <v>715</v>
      </c>
      <c r="D19" s="2057"/>
      <c r="E19" s="2057"/>
      <c r="F19" s="2057"/>
      <c r="G19" s="2057"/>
      <c r="H19" s="2057"/>
      <c r="I19" s="2057"/>
      <c r="J19" s="2057"/>
      <c r="K19" s="2057"/>
    </row>
    <row r="20" spans="1:19" ht="15.75" thickBot="1"/>
    <row r="21" spans="1:19" ht="15.75" thickBot="1">
      <c r="C21" s="832" t="s">
        <v>866</v>
      </c>
      <c r="D21" s="833" t="s">
        <v>127</v>
      </c>
      <c r="E21" s="834" t="s">
        <v>128</v>
      </c>
      <c r="F21" s="834" t="s">
        <v>129</v>
      </c>
      <c r="G21" s="834" t="s">
        <v>130</v>
      </c>
      <c r="H21" s="834" t="s">
        <v>132</v>
      </c>
      <c r="I21" s="834" t="s">
        <v>134</v>
      </c>
      <c r="J21" s="834" t="s">
        <v>136</v>
      </c>
      <c r="K21" s="834" t="s">
        <v>138</v>
      </c>
      <c r="L21" s="834" t="s">
        <v>139</v>
      </c>
      <c r="M21" s="834" t="s">
        <v>140</v>
      </c>
      <c r="N21" s="834" t="s">
        <v>142</v>
      </c>
      <c r="O21" s="834" t="s">
        <v>144</v>
      </c>
    </row>
    <row r="22" spans="1:19" ht="15.75" thickBot="1">
      <c r="A22" s="880" t="s">
        <v>338</v>
      </c>
      <c r="C22" s="835" t="s">
        <v>867</v>
      </c>
      <c r="D22" s="836" t="s">
        <v>868</v>
      </c>
      <c r="E22" s="836" t="s">
        <v>868</v>
      </c>
      <c r="F22" s="836" t="s">
        <v>868</v>
      </c>
      <c r="G22" s="836" t="s">
        <v>868</v>
      </c>
      <c r="H22" s="836" t="s">
        <v>868</v>
      </c>
      <c r="I22" s="836" t="s">
        <v>868</v>
      </c>
      <c r="J22" s="836" t="s">
        <v>868</v>
      </c>
      <c r="K22" s="836" t="s">
        <v>868</v>
      </c>
      <c r="L22" s="836" t="s">
        <v>868</v>
      </c>
      <c r="M22" s="836" t="s">
        <v>868</v>
      </c>
      <c r="N22" s="836" t="s">
        <v>868</v>
      </c>
      <c r="O22" s="836" t="s">
        <v>868</v>
      </c>
      <c r="P22" s="837" t="s">
        <v>869</v>
      </c>
      <c r="Q22" s="838" t="s">
        <v>295</v>
      </c>
      <c r="R22" s="839" t="s">
        <v>870</v>
      </c>
    </row>
    <row r="23" spans="1:19">
      <c r="A23" t="s">
        <v>871</v>
      </c>
      <c r="C23" s="840" t="s">
        <v>872</v>
      </c>
      <c r="D23" s="841">
        <f>'Cat-1'!E147</f>
        <v>187.71538863999999</v>
      </c>
      <c r="E23" s="842">
        <f>'Cat-1'!E148</f>
        <v>0</v>
      </c>
      <c r="F23" s="843">
        <f>'Cat-1'!E149</f>
        <v>0</v>
      </c>
      <c r="G23" s="844">
        <f>'Cat-1'!E150</f>
        <v>0</v>
      </c>
      <c r="H23" s="844">
        <f>'Cat-1'!E151</f>
        <v>0</v>
      </c>
      <c r="I23" s="844">
        <f>'Cat-1'!E152</f>
        <v>0</v>
      </c>
      <c r="J23" s="844">
        <f>'Cat-1'!E153</f>
        <v>0</v>
      </c>
      <c r="K23" s="845">
        <f>'Cat-1'!E154</f>
        <v>0</v>
      </c>
      <c r="L23" s="845">
        <f>'Cat-1'!E155</f>
        <v>0</v>
      </c>
      <c r="M23" s="844">
        <f>'Cat-1'!E156</f>
        <v>0</v>
      </c>
      <c r="N23" s="845">
        <f>'Cat-1'!E157</f>
        <v>0</v>
      </c>
      <c r="O23" s="844">
        <f>'Cat-1'!E158</f>
        <v>0</v>
      </c>
      <c r="P23" s="502">
        <f>SUM(D23:O23)</f>
        <v>187.71538863999999</v>
      </c>
    </row>
    <row r="24" spans="1:19">
      <c r="A24" t="s">
        <v>873</v>
      </c>
      <c r="C24" s="846" t="s">
        <v>874</v>
      </c>
      <c r="D24" s="847">
        <f>'Cat-2'!J26</f>
        <v>163.71785000000003</v>
      </c>
      <c r="E24" s="848">
        <f>'Cat-2'!J27</f>
        <v>0</v>
      </c>
      <c r="F24" s="849">
        <f>'Cat-2'!J28</f>
        <v>0</v>
      </c>
      <c r="G24" s="850">
        <f>'Cat-2'!J29</f>
        <v>0</v>
      </c>
      <c r="H24" s="850">
        <f>'Cat-2'!J30</f>
        <v>0</v>
      </c>
      <c r="I24" s="850">
        <f>'Cat-2'!J31</f>
        <v>0</v>
      </c>
      <c r="J24" s="851">
        <f>'Cat-2'!J32</f>
        <v>0</v>
      </c>
      <c r="K24" s="851">
        <f>'Cat-2'!J33</f>
        <v>0</v>
      </c>
      <c r="L24" s="851">
        <f>'Cat-2'!J34</f>
        <v>0</v>
      </c>
      <c r="M24" s="850">
        <f>'Cat-2'!J35</f>
        <v>0</v>
      </c>
      <c r="N24" s="851">
        <f>'Cat-2'!J36</f>
        <v>0</v>
      </c>
      <c r="O24" s="850">
        <f>'Cat-2'!J37</f>
        <v>0</v>
      </c>
      <c r="P24" s="502">
        <f t="shared" ref="P24:P25" si="4">SUM(D24:O24)</f>
        <v>163.71785000000003</v>
      </c>
    </row>
    <row r="25" spans="1:19">
      <c r="C25" s="846" t="s">
        <v>875</v>
      </c>
      <c r="D25" s="847">
        <f>'Cat-3'!E208</f>
        <v>14.792075679730241</v>
      </c>
      <c r="E25" s="848">
        <f>'Cat-3'!E209</f>
        <v>0</v>
      </c>
      <c r="F25" s="849">
        <f>'Cat-3'!E210</f>
        <v>0</v>
      </c>
      <c r="G25" s="850">
        <f>'Cat-3'!E211</f>
        <v>0</v>
      </c>
      <c r="H25" s="850">
        <f>'Cat-3'!E212</f>
        <v>0</v>
      </c>
      <c r="I25" s="850">
        <f>'Cat-3'!E213</f>
        <v>0</v>
      </c>
      <c r="J25" s="850">
        <f>'Cat-3'!E214</f>
        <v>0</v>
      </c>
      <c r="K25" s="850">
        <f>'Cat-3'!E215</f>
        <v>0</v>
      </c>
      <c r="L25" s="850">
        <f>'Cat-3'!E216</f>
        <v>0</v>
      </c>
      <c r="M25" s="850">
        <f>'Cat-3'!E217</f>
        <v>0</v>
      </c>
      <c r="N25" s="851">
        <f>'Cat-3'!E218</f>
        <v>0</v>
      </c>
      <c r="O25" s="850">
        <f>'Cat-3'!E219</f>
        <v>0</v>
      </c>
      <c r="P25" s="502">
        <f t="shared" si="4"/>
        <v>14.792075679730241</v>
      </c>
    </row>
    <row r="26" spans="1:19" ht="15.75" thickBot="1">
      <c r="C26" s="852" t="s">
        <v>876</v>
      </c>
      <c r="D26" s="853">
        <f>'Cat-4'!E88</f>
        <v>36.821069834264591</v>
      </c>
      <c r="E26" s="854">
        <f>'Cat-4'!E89</f>
        <v>0</v>
      </c>
      <c r="F26" s="855">
        <f>'Cat-4'!E90</f>
        <v>0</v>
      </c>
      <c r="G26" s="856">
        <f>'Cat-4'!E91</f>
        <v>0</v>
      </c>
      <c r="H26" s="856">
        <f>'Cat-4'!E92</f>
        <v>0</v>
      </c>
      <c r="I26" s="856">
        <f>'Cat-4'!E93</f>
        <v>0</v>
      </c>
      <c r="J26" s="857">
        <f>'Cat-4'!E94</f>
        <v>0</v>
      </c>
      <c r="K26" s="857">
        <f>'Cat-4'!E95</f>
        <v>0</v>
      </c>
      <c r="L26" s="857">
        <f>'Cat-4'!E96</f>
        <v>0</v>
      </c>
      <c r="M26" s="856">
        <f>'Cat-4'!E97</f>
        <v>0</v>
      </c>
      <c r="N26" s="857">
        <f>'Cat-4'!E98</f>
        <v>0</v>
      </c>
      <c r="O26" s="856">
        <f>'Cat-4'!E99</f>
        <v>0</v>
      </c>
      <c r="P26" s="502">
        <f>SUM(D26:O26)</f>
        <v>36.821069834264591</v>
      </c>
    </row>
    <row r="27" spans="1:19" ht="15.75" thickBot="1">
      <c r="C27" s="858" t="s">
        <v>877</v>
      </c>
      <c r="D27" s="859">
        <f>SUM(D23:D26)</f>
        <v>403.04638415399484</v>
      </c>
      <c r="E27" s="860">
        <f t="shared" ref="E27:O27" si="5">SUM(E23:E26)</f>
        <v>0</v>
      </c>
      <c r="F27" s="861">
        <f t="shared" si="5"/>
        <v>0</v>
      </c>
      <c r="G27" s="861">
        <f t="shared" si="5"/>
        <v>0</v>
      </c>
      <c r="H27" s="861">
        <f t="shared" si="5"/>
        <v>0</v>
      </c>
      <c r="I27" s="861">
        <f t="shared" si="5"/>
        <v>0</v>
      </c>
      <c r="J27" s="861">
        <f t="shared" si="5"/>
        <v>0</v>
      </c>
      <c r="K27" s="861">
        <f t="shared" si="5"/>
        <v>0</v>
      </c>
      <c r="L27" s="861">
        <f t="shared" si="5"/>
        <v>0</v>
      </c>
      <c r="M27" s="861">
        <f t="shared" si="5"/>
        <v>0</v>
      </c>
      <c r="N27" s="861">
        <f t="shared" si="5"/>
        <v>0</v>
      </c>
      <c r="O27" s="861">
        <f t="shared" si="5"/>
        <v>0</v>
      </c>
      <c r="P27" s="862">
        <f>SUM(D27:O27)</f>
        <v>403.04638415399484</v>
      </c>
      <c r="Q27" s="863">
        <f>SUM(D30:O30)</f>
        <v>167055.83333333334</v>
      </c>
      <c r="R27" s="864">
        <f>P27/Q27</f>
        <v>2.4126447793641538E-3</v>
      </c>
      <c r="S27" t="s">
        <v>878</v>
      </c>
    </row>
    <row r="28" spans="1:19" ht="15.75" thickBot="1">
      <c r="C28" s="865" t="s">
        <v>879</v>
      </c>
      <c r="D28" s="866">
        <f t="shared" ref="D28:O28" si="6">D27*1000</f>
        <v>403046.38415399485</v>
      </c>
      <c r="E28" s="867">
        <f t="shared" si="6"/>
        <v>0</v>
      </c>
      <c r="F28" s="868">
        <f t="shared" si="6"/>
        <v>0</v>
      </c>
      <c r="G28" s="868">
        <f t="shared" si="6"/>
        <v>0</v>
      </c>
      <c r="H28" s="868">
        <f t="shared" si="6"/>
        <v>0</v>
      </c>
      <c r="I28" s="868">
        <f t="shared" si="6"/>
        <v>0</v>
      </c>
      <c r="J28" s="869">
        <f t="shared" si="6"/>
        <v>0</v>
      </c>
      <c r="K28" s="869">
        <f t="shared" si="6"/>
        <v>0</v>
      </c>
      <c r="L28" s="869">
        <f t="shared" si="6"/>
        <v>0</v>
      </c>
      <c r="M28" s="868">
        <f t="shared" si="6"/>
        <v>0</v>
      </c>
      <c r="N28" s="869">
        <f t="shared" si="6"/>
        <v>0</v>
      </c>
      <c r="O28" s="868">
        <f t="shared" si="6"/>
        <v>0</v>
      </c>
      <c r="P28" s="862">
        <f>SUM(D28:O28)</f>
        <v>403046.38415399485</v>
      </c>
      <c r="Q28" s="863">
        <f>SUM(D30:O30)</f>
        <v>167055.83333333334</v>
      </c>
      <c r="R28" s="870">
        <f>P28/Q28</f>
        <v>2.4126447793641534</v>
      </c>
      <c r="S28" t="s">
        <v>880</v>
      </c>
    </row>
    <row r="29" spans="1:19" ht="15.75" thickBot="1"/>
    <row r="30" spans="1:19" ht="15.75" thickBot="1">
      <c r="C30" s="871" t="s">
        <v>295</v>
      </c>
      <c r="D30" s="872">
        <f>'Production-Ciospi'!Y27</f>
        <v>167055.83333333334</v>
      </c>
      <c r="E30" s="872">
        <f>'Production-Ciospi'!Y28</f>
        <v>0</v>
      </c>
      <c r="F30" s="872">
        <f>'Production-Ciospi'!Y29</f>
        <v>0</v>
      </c>
      <c r="G30" s="872">
        <f>'Production-Ciospi'!Y30</f>
        <v>0</v>
      </c>
      <c r="H30" s="872">
        <f>'Production-Ciospi'!Y31</f>
        <v>0</v>
      </c>
      <c r="I30" s="872">
        <f>'Production-Ciospi'!Y32</f>
        <v>0</v>
      </c>
      <c r="J30" s="872">
        <f>'Production-Ciospi'!Y33</f>
        <v>0</v>
      </c>
      <c r="K30" s="872">
        <f>'Production-Ciospi'!Y34</f>
        <v>0</v>
      </c>
      <c r="L30" s="872">
        <f>'Production-Ciospi'!Y35</f>
        <v>0</v>
      </c>
      <c r="M30" s="872">
        <f>'Production-Ciospi'!Y36</f>
        <v>0</v>
      </c>
      <c r="N30" s="873">
        <f>'Production-Ciospi'!Y37</f>
        <v>0</v>
      </c>
      <c r="O30" s="874">
        <f>'Production-Ciospi'!Y38</f>
        <v>0</v>
      </c>
    </row>
    <row r="31" spans="1:19" ht="15.75" thickBot="1">
      <c r="C31" s="875" t="s">
        <v>880</v>
      </c>
      <c r="D31" s="876">
        <f>D28/D30</f>
        <v>2.4126447793641534</v>
      </c>
      <c r="E31" s="877" t="e">
        <f t="shared" ref="E31:N31" si="7">E28/E30</f>
        <v>#DIV/0!</v>
      </c>
      <c r="F31" s="877" t="e">
        <f t="shared" si="7"/>
        <v>#DIV/0!</v>
      </c>
      <c r="G31" s="877" t="e">
        <f t="shared" si="7"/>
        <v>#DIV/0!</v>
      </c>
      <c r="H31" s="877" t="e">
        <f t="shared" si="7"/>
        <v>#DIV/0!</v>
      </c>
      <c r="I31" s="877" t="e">
        <f t="shared" si="7"/>
        <v>#DIV/0!</v>
      </c>
      <c r="J31" s="877" t="e">
        <f t="shared" si="7"/>
        <v>#DIV/0!</v>
      </c>
      <c r="K31" s="877" t="e">
        <f t="shared" si="7"/>
        <v>#DIV/0!</v>
      </c>
      <c r="L31" s="877" t="e">
        <f t="shared" si="7"/>
        <v>#DIV/0!</v>
      </c>
      <c r="M31" s="877" t="e">
        <f t="shared" si="7"/>
        <v>#DIV/0!</v>
      </c>
      <c r="N31" s="877" t="e">
        <f t="shared" si="7"/>
        <v>#DIV/0!</v>
      </c>
      <c r="O31" s="878" t="e">
        <f>O28/O30</f>
        <v>#DIV/0!</v>
      </c>
      <c r="P31" s="592"/>
    </row>
  </sheetData>
  <mergeCells count="3">
    <mergeCell ref="C2:K2"/>
    <mergeCell ref="A17:O17"/>
    <mergeCell ref="C19:K19"/>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78611-ED97-46C0-9BCD-AE016A12E429}">
  <dimension ref="A1:DP38"/>
  <sheetViews>
    <sheetView showGridLines="0" zoomScaleNormal="100" workbookViewId="0">
      <pane xSplit="1" topLeftCell="I1" activePane="topRight" state="frozen"/>
      <selection pane="topRight" activeCell="I8" sqref="I8"/>
    </sheetView>
  </sheetViews>
  <sheetFormatPr defaultColWidth="8.7109375" defaultRowHeight="15"/>
  <cols>
    <col min="1" max="1" width="30.5703125" style="886" customWidth="1"/>
    <col min="2" max="2" width="10.85546875" style="886" customWidth="1"/>
    <col min="3" max="3" width="14.5703125" style="886" customWidth="1"/>
    <col min="4" max="4" width="14.7109375" style="886" customWidth="1"/>
    <col min="5" max="5" width="9.42578125" style="886" customWidth="1"/>
    <col min="6" max="6" width="8.7109375" style="886"/>
    <col min="7" max="7" width="10.85546875" style="886" customWidth="1"/>
    <col min="8" max="8" width="14.5703125" style="886" customWidth="1"/>
    <col min="9" max="9" width="14.7109375" style="886" customWidth="1"/>
    <col min="10" max="10" width="9.42578125" style="886" customWidth="1"/>
    <col min="11" max="11" width="8.7109375" style="886"/>
    <col min="12" max="12" width="10.85546875" style="886" customWidth="1"/>
    <col min="13" max="13" width="14.5703125" style="886" customWidth="1"/>
    <col min="14" max="14" width="14.7109375" style="886" customWidth="1"/>
    <col min="15" max="15" width="9.42578125" style="886" customWidth="1"/>
    <col min="16" max="16" width="8.7109375" style="886"/>
    <col min="17" max="17" width="10.85546875" style="886" customWidth="1"/>
    <col min="18" max="18" width="14.5703125" style="886" customWidth="1"/>
    <col min="19" max="19" width="14.7109375" style="886" customWidth="1"/>
    <col min="20" max="20" width="9.42578125" style="886" customWidth="1"/>
    <col min="21" max="21" width="8.7109375" style="886"/>
    <col min="22" max="22" width="10.85546875" style="886" customWidth="1"/>
    <col min="23" max="23" width="14.5703125" style="886" customWidth="1"/>
    <col min="24" max="24" width="14.7109375" style="886" customWidth="1"/>
    <col min="25" max="25" width="9.42578125" style="886" customWidth="1"/>
    <col min="26" max="26" width="8.7109375" style="886"/>
    <col min="27" max="27" width="10.85546875" style="886" customWidth="1"/>
    <col min="28" max="28" width="14.5703125" style="886" customWidth="1"/>
    <col min="29" max="29" width="14.7109375" style="886" customWidth="1"/>
    <col min="30" max="30" width="9.42578125" style="886" customWidth="1"/>
    <col min="31" max="31" width="8.7109375" style="886"/>
    <col min="32" max="32" width="10.85546875" style="886" customWidth="1"/>
    <col min="33" max="33" width="14.5703125" style="886" customWidth="1"/>
    <col min="34" max="34" width="14.7109375" style="886" customWidth="1"/>
    <col min="35" max="35" width="9.42578125" style="886" customWidth="1"/>
    <col min="36" max="36" width="8.7109375" style="886"/>
    <col min="37" max="37" width="13.5703125" style="886" customWidth="1"/>
    <col min="38" max="38" width="14.42578125" style="886" customWidth="1"/>
    <col min="39" max="39" width="14.5703125" style="886" customWidth="1"/>
    <col min="40" max="40" width="12.5703125" style="886" customWidth="1"/>
    <col min="41" max="41" width="8.7109375" style="886"/>
    <col min="42" max="42" width="13.5703125" style="886" customWidth="1"/>
    <col min="43" max="43" width="14.42578125" style="886" customWidth="1"/>
    <col min="44" max="44" width="14.5703125" style="886" customWidth="1"/>
    <col min="45" max="45" width="12.5703125" style="886" customWidth="1"/>
    <col min="46" max="46" width="8.7109375" style="886"/>
    <col min="47" max="47" width="13.5703125" style="886" customWidth="1"/>
    <col min="48" max="48" width="14.42578125" style="886" customWidth="1"/>
    <col min="49" max="49" width="14.5703125" style="886" customWidth="1"/>
    <col min="50" max="50" width="12.5703125" style="886" customWidth="1"/>
    <col min="51" max="51" width="8.7109375" style="886"/>
    <col min="52" max="52" width="13.5703125" style="886" customWidth="1"/>
    <col min="53" max="53" width="14.42578125" style="886" customWidth="1"/>
    <col min="54" max="54" width="14.5703125" style="886" customWidth="1"/>
    <col min="55" max="55" width="12.5703125" style="886" customWidth="1"/>
    <col min="56" max="56" width="8.7109375" style="886"/>
    <col min="57" max="57" width="13.5703125" style="886" customWidth="1"/>
    <col min="58" max="58" width="14.42578125" style="886" customWidth="1"/>
    <col min="59" max="59" width="14.5703125" style="886" customWidth="1"/>
    <col min="60" max="60" width="12.5703125" style="886" customWidth="1"/>
    <col min="61" max="61" width="8.7109375" style="886"/>
    <col min="62" max="62" width="13.5703125" style="886" customWidth="1"/>
    <col min="63" max="63" width="14.42578125" style="886" customWidth="1"/>
    <col min="64" max="64" width="14.5703125" style="886" customWidth="1"/>
    <col min="65" max="65" width="12.5703125" style="886" customWidth="1"/>
    <col min="66" max="66" width="8.7109375" style="886"/>
    <col min="67" max="67" width="13.5703125" style="886" customWidth="1"/>
    <col min="68" max="68" width="14.42578125" style="886" customWidth="1"/>
    <col min="69" max="69" width="14.5703125" style="886" customWidth="1"/>
    <col min="70" max="70" width="12.5703125" style="886" customWidth="1"/>
    <col min="71" max="71" width="8.7109375" style="886"/>
    <col min="72" max="72" width="13.5703125" style="886" customWidth="1"/>
    <col min="73" max="73" width="14.42578125" style="886" customWidth="1"/>
    <col min="74" max="74" width="14.5703125" style="886" customWidth="1"/>
    <col min="75" max="75" width="12.5703125" style="886" customWidth="1"/>
    <col min="76" max="76" width="8.7109375" style="886"/>
    <col min="77" max="77" width="13.5703125" style="886" customWidth="1"/>
    <col min="78" max="78" width="14.42578125" style="886" customWidth="1"/>
    <col min="79" max="79" width="14.5703125" style="886" customWidth="1"/>
    <col min="80" max="80" width="12.5703125" style="886" customWidth="1"/>
    <col min="81" max="81" width="8.7109375" style="886"/>
    <col min="82" max="82" width="13.5703125" style="886" customWidth="1"/>
    <col min="83" max="83" width="14.42578125" style="886" customWidth="1"/>
    <col min="84" max="84" width="14.5703125" style="886" customWidth="1"/>
    <col min="85" max="85" width="12.5703125" style="886" customWidth="1"/>
    <col min="86" max="86" width="8.7109375" style="886"/>
    <col min="87" max="87" width="13.5703125" style="886" customWidth="1"/>
    <col min="88" max="88" width="14.42578125" style="886" customWidth="1"/>
    <col min="89" max="89" width="14.5703125" style="886" customWidth="1"/>
    <col min="90" max="90" width="12.5703125" style="886" customWidth="1"/>
    <col min="91" max="91" width="8.7109375" style="886"/>
    <col min="92" max="92" width="13.5703125" style="886" customWidth="1"/>
    <col min="93" max="93" width="14.42578125" style="886" customWidth="1"/>
    <col min="94" max="94" width="14.5703125" style="886" customWidth="1"/>
    <col min="95" max="95" width="12.5703125" style="886" customWidth="1"/>
    <col min="96" max="96" width="8.7109375" style="886"/>
    <col min="97" max="97" width="13.5703125" style="886" customWidth="1"/>
    <col min="98" max="98" width="14.42578125" style="886" customWidth="1"/>
    <col min="99" max="99" width="14.5703125" style="886" customWidth="1"/>
    <col min="100" max="100" width="12.5703125" style="886" customWidth="1"/>
    <col min="101" max="101" width="8.7109375" style="886"/>
    <col min="102" max="102" width="13.5703125" style="886" customWidth="1"/>
    <col min="103" max="103" width="14.42578125" style="886" customWidth="1"/>
    <col min="104" max="104" width="14.5703125" style="886" customWidth="1"/>
    <col min="105" max="105" width="12.5703125" style="886" customWidth="1"/>
    <col min="106" max="106" width="8.7109375" style="886"/>
    <col min="107" max="107" width="13.5703125" style="886" customWidth="1"/>
    <col min="108" max="108" width="14.42578125" style="886" customWidth="1"/>
    <col min="109" max="109" width="14.5703125" style="886" customWidth="1"/>
    <col min="110" max="110" width="12.5703125" style="886" customWidth="1"/>
    <col min="111" max="111" width="8.7109375" style="886"/>
    <col min="112" max="112" width="13.5703125" style="886" customWidth="1"/>
    <col min="113" max="113" width="14.42578125" style="886" customWidth="1"/>
    <col min="114" max="114" width="14.5703125" style="886" customWidth="1"/>
    <col min="115" max="115" width="12.5703125" style="886" customWidth="1"/>
    <col min="116" max="116" width="8.7109375" style="886"/>
    <col min="117" max="117" width="13.5703125" style="886" customWidth="1"/>
    <col min="118" max="118" width="14.42578125" style="886" customWidth="1"/>
    <col min="119" max="119" width="14.5703125" style="886" customWidth="1"/>
    <col min="120" max="120" width="12.5703125" style="886" customWidth="1"/>
    <col min="121" max="16384" width="8.7109375" style="886"/>
  </cols>
  <sheetData>
    <row r="1" spans="1:120" ht="30" customHeight="1">
      <c r="A1" s="880" t="s">
        <v>338</v>
      </c>
      <c r="B1" s="2098" t="s">
        <v>7</v>
      </c>
      <c r="C1" s="885" t="s">
        <v>881</v>
      </c>
      <c r="D1" s="885" t="s">
        <v>882</v>
      </c>
      <c r="E1" s="2098" t="s">
        <v>883</v>
      </c>
      <c r="G1" s="2098" t="s">
        <v>7</v>
      </c>
      <c r="H1" s="885" t="s">
        <v>881</v>
      </c>
      <c r="I1" s="885" t="s">
        <v>882</v>
      </c>
      <c r="J1" s="2098" t="s">
        <v>883</v>
      </c>
      <c r="L1" s="2098" t="s">
        <v>7</v>
      </c>
      <c r="M1" s="885" t="s">
        <v>881</v>
      </c>
      <c r="N1" s="885" t="s">
        <v>882</v>
      </c>
      <c r="O1" s="2098" t="s">
        <v>883</v>
      </c>
      <c r="Q1" s="2098" t="s">
        <v>7</v>
      </c>
      <c r="R1" s="885" t="s">
        <v>881</v>
      </c>
      <c r="S1" s="885" t="s">
        <v>882</v>
      </c>
      <c r="T1" s="2098" t="s">
        <v>883</v>
      </c>
      <c r="V1" s="2098" t="s">
        <v>7</v>
      </c>
      <c r="W1" s="885" t="s">
        <v>881</v>
      </c>
      <c r="X1" s="885" t="s">
        <v>882</v>
      </c>
      <c r="Y1" s="2098" t="s">
        <v>883</v>
      </c>
      <c r="AA1" s="2098" t="s">
        <v>7</v>
      </c>
      <c r="AB1" s="885" t="s">
        <v>881</v>
      </c>
      <c r="AC1" s="885" t="s">
        <v>882</v>
      </c>
      <c r="AD1" s="2098" t="s">
        <v>883</v>
      </c>
      <c r="AF1" s="2098" t="s">
        <v>7</v>
      </c>
      <c r="AG1" s="885" t="s">
        <v>881</v>
      </c>
      <c r="AH1" s="885" t="s">
        <v>882</v>
      </c>
      <c r="AI1" s="2098" t="s">
        <v>883</v>
      </c>
      <c r="AK1" s="2098" t="s">
        <v>7</v>
      </c>
      <c r="AL1" s="885" t="s">
        <v>881</v>
      </c>
      <c r="AM1" s="885" t="s">
        <v>882</v>
      </c>
      <c r="AN1" s="2098" t="s">
        <v>883</v>
      </c>
      <c r="AP1" s="2098" t="s">
        <v>7</v>
      </c>
      <c r="AQ1" s="885" t="s">
        <v>881</v>
      </c>
      <c r="AR1" s="885" t="s">
        <v>882</v>
      </c>
      <c r="AS1" s="2098" t="s">
        <v>883</v>
      </c>
      <c r="AU1" s="2098" t="s">
        <v>7</v>
      </c>
      <c r="AV1" s="885" t="s">
        <v>881</v>
      </c>
      <c r="AW1" s="885" t="s">
        <v>882</v>
      </c>
      <c r="AX1" s="2098" t="s">
        <v>883</v>
      </c>
      <c r="AZ1" s="2098" t="s">
        <v>7</v>
      </c>
      <c r="BA1" s="885" t="s">
        <v>881</v>
      </c>
      <c r="BB1" s="885" t="s">
        <v>882</v>
      </c>
      <c r="BC1" s="2098" t="s">
        <v>883</v>
      </c>
      <c r="BE1" s="2098" t="s">
        <v>7</v>
      </c>
      <c r="BF1" s="885" t="s">
        <v>881</v>
      </c>
      <c r="BG1" s="885" t="s">
        <v>882</v>
      </c>
      <c r="BH1" s="2098" t="s">
        <v>883</v>
      </c>
      <c r="BI1" s="1291">
        <v>2024</v>
      </c>
      <c r="BJ1" s="2098" t="s">
        <v>7</v>
      </c>
      <c r="BK1" s="885" t="s">
        <v>881</v>
      </c>
      <c r="BL1" s="885" t="s">
        <v>882</v>
      </c>
      <c r="BM1" s="2098" t="s">
        <v>883</v>
      </c>
      <c r="BO1" s="2098" t="s">
        <v>7</v>
      </c>
      <c r="BP1" s="885" t="s">
        <v>881</v>
      </c>
      <c r="BQ1" s="885" t="s">
        <v>882</v>
      </c>
      <c r="BR1" s="2098" t="s">
        <v>883</v>
      </c>
      <c r="BT1" s="2098" t="s">
        <v>7</v>
      </c>
      <c r="BU1" s="885" t="s">
        <v>881</v>
      </c>
      <c r="BV1" s="885" t="s">
        <v>882</v>
      </c>
      <c r="BW1" s="2098" t="s">
        <v>883</v>
      </c>
      <c r="BY1" s="2098" t="s">
        <v>7</v>
      </c>
      <c r="BZ1" s="885" t="s">
        <v>881</v>
      </c>
      <c r="CA1" s="885" t="s">
        <v>882</v>
      </c>
      <c r="CB1" s="2098" t="s">
        <v>883</v>
      </c>
      <c r="CD1" s="2098" t="s">
        <v>7</v>
      </c>
      <c r="CE1" s="885" t="s">
        <v>881</v>
      </c>
      <c r="CF1" s="885" t="s">
        <v>882</v>
      </c>
      <c r="CG1" s="2098" t="s">
        <v>883</v>
      </c>
      <c r="CI1" s="2098" t="s">
        <v>7</v>
      </c>
      <c r="CJ1" s="885" t="s">
        <v>881</v>
      </c>
      <c r="CK1" s="885" t="s">
        <v>882</v>
      </c>
      <c r="CL1" s="2098" t="s">
        <v>883</v>
      </c>
      <c r="CN1" s="2098" t="s">
        <v>7</v>
      </c>
      <c r="CO1" s="885" t="s">
        <v>881</v>
      </c>
      <c r="CP1" s="885" t="s">
        <v>882</v>
      </c>
      <c r="CQ1" s="2098" t="s">
        <v>883</v>
      </c>
      <c r="CS1" s="2098" t="s">
        <v>7</v>
      </c>
      <c r="CT1" s="885" t="s">
        <v>881</v>
      </c>
      <c r="CU1" s="885" t="s">
        <v>882</v>
      </c>
      <c r="CV1" s="2098" t="s">
        <v>883</v>
      </c>
      <c r="CX1" s="2098" t="s">
        <v>7</v>
      </c>
      <c r="CY1" s="885" t="s">
        <v>881</v>
      </c>
      <c r="CZ1" s="885" t="s">
        <v>882</v>
      </c>
      <c r="DA1" s="2098" t="s">
        <v>883</v>
      </c>
      <c r="DC1" s="2098" t="s">
        <v>7</v>
      </c>
      <c r="DD1" s="885" t="s">
        <v>881</v>
      </c>
      <c r="DE1" s="885" t="s">
        <v>882</v>
      </c>
      <c r="DF1" s="2098" t="s">
        <v>883</v>
      </c>
      <c r="DH1" s="2098" t="s">
        <v>7</v>
      </c>
      <c r="DI1" s="885" t="s">
        <v>881</v>
      </c>
      <c r="DJ1" s="885" t="s">
        <v>882</v>
      </c>
      <c r="DK1" s="2098" t="s">
        <v>883</v>
      </c>
      <c r="DM1" s="2098" t="s">
        <v>7</v>
      </c>
      <c r="DN1" s="885" t="s">
        <v>881</v>
      </c>
      <c r="DO1" s="885" t="s">
        <v>882</v>
      </c>
      <c r="DP1" s="2098" t="s">
        <v>883</v>
      </c>
    </row>
    <row r="2" spans="1:120">
      <c r="A2" s="883" t="s">
        <v>736</v>
      </c>
      <c r="B2" s="2098"/>
      <c r="C2" s="887" t="s">
        <v>766</v>
      </c>
      <c r="D2" s="887" t="s">
        <v>766</v>
      </c>
      <c r="E2" s="2098"/>
      <c r="G2" s="2098"/>
      <c r="H2" s="887" t="s">
        <v>766</v>
      </c>
      <c r="I2" s="887" t="s">
        <v>766</v>
      </c>
      <c r="J2" s="2098"/>
      <c r="L2" s="2098"/>
      <c r="M2" s="887" t="s">
        <v>766</v>
      </c>
      <c r="N2" s="887" t="s">
        <v>766</v>
      </c>
      <c r="O2" s="2098"/>
      <c r="Q2" s="2098"/>
      <c r="R2" s="887" t="s">
        <v>766</v>
      </c>
      <c r="S2" s="887" t="s">
        <v>766</v>
      </c>
      <c r="T2" s="2098"/>
      <c r="V2" s="2098"/>
      <c r="W2" s="887" t="s">
        <v>766</v>
      </c>
      <c r="X2" s="887" t="s">
        <v>766</v>
      </c>
      <c r="Y2" s="2098"/>
      <c r="AA2" s="2098"/>
      <c r="AB2" s="887" t="s">
        <v>766</v>
      </c>
      <c r="AC2" s="887" t="s">
        <v>766</v>
      </c>
      <c r="AD2" s="2098"/>
      <c r="AF2" s="2098"/>
      <c r="AG2" s="887" t="s">
        <v>766</v>
      </c>
      <c r="AH2" s="887" t="s">
        <v>766</v>
      </c>
      <c r="AI2" s="2098"/>
      <c r="AK2" s="2098"/>
      <c r="AL2" s="887" t="s">
        <v>766</v>
      </c>
      <c r="AM2" s="887" t="s">
        <v>766</v>
      </c>
      <c r="AN2" s="2098"/>
      <c r="AP2" s="2098"/>
      <c r="AQ2" s="887" t="s">
        <v>766</v>
      </c>
      <c r="AR2" s="887" t="s">
        <v>766</v>
      </c>
      <c r="AS2" s="2098"/>
      <c r="AU2" s="2098"/>
      <c r="AV2" s="887" t="s">
        <v>766</v>
      </c>
      <c r="AW2" s="887" t="s">
        <v>766</v>
      </c>
      <c r="AX2" s="2098"/>
      <c r="AZ2" s="2098"/>
      <c r="BA2" s="887" t="s">
        <v>766</v>
      </c>
      <c r="BB2" s="887" t="s">
        <v>766</v>
      </c>
      <c r="BC2" s="2098"/>
      <c r="BE2" s="2098"/>
      <c r="BF2" s="887" t="s">
        <v>766</v>
      </c>
      <c r="BG2" s="887" t="s">
        <v>766</v>
      </c>
      <c r="BH2" s="2098"/>
      <c r="BJ2" s="2098"/>
      <c r="BK2" s="887" t="s">
        <v>766</v>
      </c>
      <c r="BL2" s="887" t="s">
        <v>766</v>
      </c>
      <c r="BM2" s="2098"/>
      <c r="BO2" s="2098"/>
      <c r="BP2" s="887" t="s">
        <v>766</v>
      </c>
      <c r="BQ2" s="887" t="s">
        <v>766</v>
      </c>
      <c r="BR2" s="2098"/>
      <c r="BT2" s="2098"/>
      <c r="BU2" s="887" t="s">
        <v>766</v>
      </c>
      <c r="BV2" s="887" t="s">
        <v>766</v>
      </c>
      <c r="BW2" s="2098"/>
      <c r="BY2" s="2098"/>
      <c r="BZ2" s="887" t="s">
        <v>766</v>
      </c>
      <c r="CA2" s="887" t="s">
        <v>766</v>
      </c>
      <c r="CB2" s="2098"/>
      <c r="CD2" s="2098"/>
      <c r="CE2" s="887" t="s">
        <v>766</v>
      </c>
      <c r="CF2" s="887" t="s">
        <v>766</v>
      </c>
      <c r="CG2" s="2098"/>
      <c r="CI2" s="2098"/>
      <c r="CJ2" s="887" t="s">
        <v>766</v>
      </c>
      <c r="CK2" s="887" t="s">
        <v>766</v>
      </c>
      <c r="CL2" s="2098"/>
      <c r="CN2" s="2098"/>
      <c r="CO2" s="887" t="s">
        <v>766</v>
      </c>
      <c r="CP2" s="887" t="s">
        <v>766</v>
      </c>
      <c r="CQ2" s="2098"/>
      <c r="CS2" s="2098"/>
      <c r="CT2" s="887" t="s">
        <v>766</v>
      </c>
      <c r="CU2" s="887" t="s">
        <v>766</v>
      </c>
      <c r="CV2" s="2098"/>
      <c r="CX2" s="2098"/>
      <c r="CY2" s="887" t="s">
        <v>766</v>
      </c>
      <c r="CZ2" s="887" t="s">
        <v>766</v>
      </c>
      <c r="DA2" s="2098"/>
      <c r="DC2" s="2098"/>
      <c r="DD2" s="887" t="s">
        <v>766</v>
      </c>
      <c r="DE2" s="887" t="s">
        <v>766</v>
      </c>
      <c r="DF2" s="2098"/>
      <c r="DH2" s="2098"/>
      <c r="DI2" s="887" t="s">
        <v>766</v>
      </c>
      <c r="DJ2" s="887" t="s">
        <v>766</v>
      </c>
      <c r="DK2" s="2098"/>
      <c r="DM2" s="2098"/>
      <c r="DN2" s="887" t="s">
        <v>766</v>
      </c>
      <c r="DO2" s="887" t="s">
        <v>766</v>
      </c>
      <c r="DP2" s="2098"/>
    </row>
    <row r="3" spans="1:120">
      <c r="A3" t="s">
        <v>770</v>
      </c>
      <c r="B3" s="890">
        <v>44921</v>
      </c>
      <c r="C3" s="888"/>
      <c r="D3" s="887">
        <v>1200</v>
      </c>
      <c r="E3" s="889"/>
      <c r="G3" s="890">
        <v>44952</v>
      </c>
      <c r="H3" s="888"/>
      <c r="I3" s="887"/>
      <c r="J3" s="889"/>
      <c r="L3" s="890">
        <v>44983</v>
      </c>
      <c r="M3" s="888"/>
      <c r="N3" s="887"/>
      <c r="O3" s="889"/>
      <c r="Q3" s="890">
        <v>45011</v>
      </c>
      <c r="R3" s="888"/>
      <c r="S3" s="887"/>
      <c r="T3" s="889"/>
      <c r="V3" s="890">
        <v>45042</v>
      </c>
      <c r="W3" s="888"/>
      <c r="X3" s="887"/>
      <c r="Y3" s="889"/>
      <c r="AA3" s="890">
        <v>45072</v>
      </c>
      <c r="AB3" s="888"/>
      <c r="AC3" s="887"/>
      <c r="AD3" s="889"/>
      <c r="AF3" s="890">
        <v>45103</v>
      </c>
      <c r="AG3" s="888"/>
      <c r="AH3" s="887"/>
      <c r="AI3" s="889"/>
      <c r="AK3" s="890">
        <v>45133</v>
      </c>
      <c r="AL3" s="891"/>
      <c r="AM3" s="892">
        <f>1200</f>
        <v>1200</v>
      </c>
      <c r="AN3" s="889"/>
      <c r="AP3" s="890">
        <v>45164</v>
      </c>
      <c r="AQ3" s="891"/>
      <c r="AR3" s="892"/>
      <c r="AS3" s="889"/>
      <c r="AU3" s="890">
        <v>45195</v>
      </c>
      <c r="AV3" s="891"/>
      <c r="AW3" s="892">
        <v>1200</v>
      </c>
      <c r="AX3" s="889"/>
      <c r="AZ3" s="890">
        <v>45225</v>
      </c>
      <c r="BA3" s="891"/>
      <c r="BB3" s="892">
        <v>1200</v>
      </c>
      <c r="BC3" s="889"/>
      <c r="BE3" s="890">
        <v>45256</v>
      </c>
      <c r="BF3" s="891"/>
      <c r="BG3" s="892">
        <v>1200</v>
      </c>
      <c r="BH3" s="889"/>
      <c r="BJ3" s="890">
        <v>45286</v>
      </c>
      <c r="BK3" s="891"/>
      <c r="BL3" s="892"/>
      <c r="BM3" s="889"/>
      <c r="BO3" s="890">
        <v>45317</v>
      </c>
      <c r="BP3" s="891"/>
      <c r="BQ3" s="892"/>
      <c r="BR3" s="889"/>
      <c r="BT3" s="890">
        <v>45348</v>
      </c>
      <c r="BU3" s="891"/>
      <c r="BV3" s="892"/>
      <c r="BW3" s="889"/>
      <c r="BY3" s="890">
        <v>45377</v>
      </c>
      <c r="BZ3" s="891"/>
      <c r="CA3" s="892"/>
      <c r="CB3" s="889"/>
      <c r="CD3" s="890">
        <v>45408</v>
      </c>
      <c r="CE3" s="891"/>
      <c r="CF3" s="892"/>
      <c r="CG3" s="889"/>
      <c r="CI3" s="890">
        <v>45438</v>
      </c>
      <c r="CJ3" s="891"/>
      <c r="CK3" s="892"/>
      <c r="CL3" s="889"/>
      <c r="CN3" s="890">
        <v>45469</v>
      </c>
      <c r="CO3" s="891"/>
      <c r="CP3" s="892"/>
      <c r="CQ3" s="889"/>
      <c r="CS3" s="890">
        <v>45499</v>
      </c>
      <c r="CT3" s="891"/>
      <c r="CU3" s="892"/>
      <c r="CV3" s="889"/>
      <c r="CX3" s="890">
        <v>45530</v>
      </c>
      <c r="CY3" s="891"/>
      <c r="CZ3" s="892"/>
      <c r="DA3" s="889"/>
      <c r="DC3" s="890">
        <v>45561</v>
      </c>
      <c r="DD3" s="891"/>
      <c r="DE3" s="892"/>
      <c r="DF3" s="889"/>
      <c r="DH3" s="890">
        <v>45591</v>
      </c>
      <c r="DI3" s="891"/>
      <c r="DJ3" s="892"/>
      <c r="DK3" s="889"/>
      <c r="DM3" s="890">
        <v>45622</v>
      </c>
      <c r="DN3" s="891"/>
      <c r="DO3" s="892"/>
      <c r="DP3" s="889"/>
    </row>
    <row r="4" spans="1:120">
      <c r="B4" s="890">
        <v>44922</v>
      </c>
      <c r="C4" s="888"/>
      <c r="D4" s="887">
        <v>1200</v>
      </c>
      <c r="E4" s="889"/>
      <c r="G4" s="890">
        <v>44953</v>
      </c>
      <c r="H4" s="888"/>
      <c r="I4" s="887"/>
      <c r="J4" s="889"/>
      <c r="L4" s="890">
        <v>44984</v>
      </c>
      <c r="M4" s="888"/>
      <c r="N4" s="887"/>
      <c r="O4" s="889"/>
      <c r="Q4" s="890">
        <v>45012</v>
      </c>
      <c r="R4" s="888"/>
      <c r="S4" s="887"/>
      <c r="T4" s="889"/>
      <c r="V4" s="890">
        <v>45043</v>
      </c>
      <c r="W4" s="888"/>
      <c r="X4" s="887"/>
      <c r="Y4" s="889"/>
      <c r="AA4" s="890">
        <v>45073</v>
      </c>
      <c r="AB4" s="888"/>
      <c r="AC4" s="887"/>
      <c r="AD4" s="889"/>
      <c r="AF4" s="890">
        <v>45104</v>
      </c>
      <c r="AG4" s="888"/>
      <c r="AH4" s="887"/>
      <c r="AI4" s="889"/>
      <c r="AK4" s="890">
        <v>45134</v>
      </c>
      <c r="AL4" s="891"/>
      <c r="AM4" s="892">
        <f>1200</f>
        <v>1200</v>
      </c>
      <c r="AN4" s="889"/>
      <c r="AP4" s="890">
        <v>45165</v>
      </c>
      <c r="AQ4" s="891"/>
      <c r="AR4" s="892">
        <v>1200</v>
      </c>
      <c r="AS4" s="889"/>
      <c r="AU4" s="890">
        <v>45196</v>
      </c>
      <c r="AV4" s="891"/>
      <c r="AW4" s="892">
        <v>1200</v>
      </c>
      <c r="AX4" s="889"/>
      <c r="AZ4" s="890">
        <v>45226</v>
      </c>
      <c r="BA4" s="891"/>
      <c r="BB4" s="892"/>
      <c r="BC4" s="889"/>
      <c r="BE4" s="890">
        <v>45257</v>
      </c>
      <c r="BF4" s="891"/>
      <c r="BG4" s="892">
        <v>1200</v>
      </c>
      <c r="BH4" s="889"/>
      <c r="BJ4" s="890">
        <v>45287</v>
      </c>
      <c r="BK4" s="891"/>
      <c r="BL4" s="892"/>
      <c r="BM4" s="889"/>
      <c r="BO4" s="890">
        <v>45318</v>
      </c>
      <c r="BP4" s="891"/>
      <c r="BQ4" s="892"/>
      <c r="BR4" s="889"/>
      <c r="BT4" s="890">
        <v>45349</v>
      </c>
      <c r="BU4" s="891"/>
      <c r="BV4" s="892"/>
      <c r="BW4" s="889"/>
      <c r="BY4" s="890">
        <v>45378</v>
      </c>
      <c r="BZ4" s="891"/>
      <c r="CA4" s="892"/>
      <c r="CB4" s="889"/>
      <c r="CD4" s="890">
        <v>45409</v>
      </c>
      <c r="CE4" s="891"/>
      <c r="CF4" s="892"/>
      <c r="CG4" s="889"/>
      <c r="CI4" s="890">
        <v>45439</v>
      </c>
      <c r="CJ4" s="891"/>
      <c r="CK4" s="892"/>
      <c r="CL4" s="889"/>
      <c r="CN4" s="890">
        <v>45470</v>
      </c>
      <c r="CO4" s="891"/>
      <c r="CP4" s="892"/>
      <c r="CQ4" s="889"/>
      <c r="CS4" s="890">
        <v>45500</v>
      </c>
      <c r="CT4" s="891"/>
      <c r="CU4" s="892"/>
      <c r="CV4" s="889"/>
      <c r="CX4" s="890">
        <v>45531</v>
      </c>
      <c r="CY4" s="891"/>
      <c r="CZ4" s="892"/>
      <c r="DA4" s="889"/>
      <c r="DC4" s="890">
        <v>45562</v>
      </c>
      <c r="DD4" s="891"/>
      <c r="DE4" s="892"/>
      <c r="DF4" s="889"/>
      <c r="DH4" s="890">
        <v>45592</v>
      </c>
      <c r="DI4" s="891"/>
      <c r="DJ4" s="892"/>
      <c r="DK4" s="889"/>
      <c r="DM4" s="890">
        <v>45623</v>
      </c>
      <c r="DN4" s="891"/>
      <c r="DO4" s="892"/>
      <c r="DP4" s="889"/>
    </row>
    <row r="5" spans="1:120">
      <c r="B5" s="890">
        <v>44923</v>
      </c>
      <c r="C5" s="889"/>
      <c r="D5" s="887">
        <v>1200</v>
      </c>
      <c r="E5" s="889"/>
      <c r="G5" s="890">
        <v>44954</v>
      </c>
      <c r="H5" s="889"/>
      <c r="I5" s="887">
        <v>1200</v>
      </c>
      <c r="J5" s="889"/>
      <c r="L5" s="890">
        <v>44985</v>
      </c>
      <c r="M5" s="889"/>
      <c r="N5" s="889"/>
      <c r="O5" s="889"/>
      <c r="Q5" s="890">
        <v>45013</v>
      </c>
      <c r="R5" s="889"/>
      <c r="S5" s="889"/>
      <c r="T5" s="889"/>
      <c r="V5" s="890">
        <v>45044</v>
      </c>
      <c r="W5" s="889"/>
      <c r="X5" s="889"/>
      <c r="Y5" s="889"/>
      <c r="AA5" s="890">
        <v>45074</v>
      </c>
      <c r="AB5" s="889"/>
      <c r="AC5" s="889"/>
      <c r="AD5" s="889"/>
      <c r="AF5" s="890">
        <v>45105</v>
      </c>
      <c r="AG5" s="889"/>
      <c r="AH5" s="889"/>
      <c r="AI5" s="889"/>
      <c r="AK5" s="890">
        <v>45135</v>
      </c>
      <c r="AL5" s="888"/>
      <c r="AM5" s="892"/>
      <c r="AN5" s="889"/>
      <c r="AP5" s="890">
        <v>45166</v>
      </c>
      <c r="AQ5" s="888"/>
      <c r="AR5" s="892">
        <v>1200</v>
      </c>
      <c r="AS5" s="889"/>
      <c r="AU5" s="890">
        <v>45197</v>
      </c>
      <c r="AV5" s="888"/>
      <c r="AW5" s="892">
        <v>900</v>
      </c>
      <c r="AX5" s="889"/>
      <c r="AZ5" s="890">
        <v>45227</v>
      </c>
      <c r="BA5" s="888"/>
      <c r="BB5" s="892"/>
      <c r="BC5" s="889"/>
      <c r="BE5" s="890">
        <v>45258</v>
      </c>
      <c r="BF5" s="888"/>
      <c r="BG5" s="892">
        <v>1200</v>
      </c>
      <c r="BH5" s="889"/>
      <c r="BJ5" s="890">
        <v>45288</v>
      </c>
      <c r="BK5" s="888"/>
      <c r="BL5" s="892"/>
      <c r="BM5" s="889"/>
      <c r="BO5" s="890">
        <v>45319</v>
      </c>
      <c r="BP5" s="888"/>
      <c r="BQ5" s="892"/>
      <c r="BR5" s="889"/>
      <c r="BT5" s="890">
        <v>45350</v>
      </c>
      <c r="BU5" s="888"/>
      <c r="BV5" s="892"/>
      <c r="BW5" s="889"/>
      <c r="BY5" s="890">
        <v>45379</v>
      </c>
      <c r="BZ5" s="888"/>
      <c r="CA5" s="892"/>
      <c r="CB5" s="889"/>
      <c r="CD5" s="890">
        <v>45410</v>
      </c>
      <c r="CE5" s="888"/>
      <c r="CF5" s="892"/>
      <c r="CG5" s="889"/>
      <c r="CI5" s="890">
        <v>45440</v>
      </c>
      <c r="CJ5" s="888"/>
      <c r="CK5" s="892"/>
      <c r="CL5" s="889"/>
      <c r="CN5" s="890">
        <v>45471</v>
      </c>
      <c r="CO5" s="888"/>
      <c r="CP5" s="892"/>
      <c r="CQ5" s="889"/>
      <c r="CS5" s="890">
        <v>45501</v>
      </c>
      <c r="CT5" s="888"/>
      <c r="CU5" s="892"/>
      <c r="CV5" s="889"/>
      <c r="CX5" s="890">
        <v>45532</v>
      </c>
      <c r="CY5" s="888"/>
      <c r="CZ5" s="892"/>
      <c r="DA5" s="889"/>
      <c r="DC5" s="890">
        <v>45563</v>
      </c>
      <c r="DD5" s="888"/>
      <c r="DE5" s="892"/>
      <c r="DF5" s="889"/>
      <c r="DH5" s="890">
        <v>45593</v>
      </c>
      <c r="DI5" s="888"/>
      <c r="DJ5" s="892"/>
      <c r="DK5" s="889"/>
      <c r="DM5" s="890">
        <v>45624</v>
      </c>
      <c r="DN5" s="888"/>
      <c r="DO5" s="892"/>
      <c r="DP5" s="889"/>
    </row>
    <row r="6" spans="1:120">
      <c r="B6" s="890">
        <v>44924</v>
      </c>
      <c r="C6" s="889"/>
      <c r="D6" s="889"/>
      <c r="E6" s="889"/>
      <c r="G6" s="890">
        <v>44955</v>
      </c>
      <c r="H6" s="889"/>
      <c r="I6" s="887">
        <v>1200</v>
      </c>
      <c r="J6" s="889"/>
      <c r="L6" s="890">
        <v>44986</v>
      </c>
      <c r="M6" s="889"/>
      <c r="N6" s="889"/>
      <c r="O6" s="889"/>
      <c r="Q6" s="890">
        <v>45014</v>
      </c>
      <c r="R6" s="889"/>
      <c r="S6" s="889"/>
      <c r="T6" s="889"/>
      <c r="V6" s="890">
        <v>45045</v>
      </c>
      <c r="W6" s="889"/>
      <c r="X6" s="889"/>
      <c r="Y6" s="889"/>
      <c r="AA6" s="890">
        <v>45075</v>
      </c>
      <c r="AB6" s="889"/>
      <c r="AC6" s="889"/>
      <c r="AD6" s="889"/>
      <c r="AF6" s="890">
        <v>45106</v>
      </c>
      <c r="AG6" s="889"/>
      <c r="AH6" s="889"/>
      <c r="AI6" s="889"/>
      <c r="AK6" s="890">
        <v>45136</v>
      </c>
      <c r="AL6" s="888"/>
      <c r="AM6" s="892"/>
      <c r="AN6" s="889"/>
      <c r="AP6" s="890">
        <v>45167</v>
      </c>
      <c r="AQ6" s="888"/>
      <c r="AR6" s="892">
        <v>1199</v>
      </c>
      <c r="AS6" s="889"/>
      <c r="AU6" s="890">
        <v>45198</v>
      </c>
      <c r="AV6" s="888"/>
      <c r="AW6" s="892"/>
      <c r="AX6" s="889"/>
      <c r="AZ6" s="890">
        <v>45228</v>
      </c>
      <c r="BA6" s="888"/>
      <c r="BB6" s="892">
        <v>1197</v>
      </c>
      <c r="BC6" s="889"/>
      <c r="BE6" s="890">
        <v>45259</v>
      </c>
      <c r="BF6" s="888"/>
      <c r="BG6" s="892">
        <v>1200</v>
      </c>
      <c r="BH6" s="889"/>
      <c r="BJ6" s="890">
        <v>45289</v>
      </c>
      <c r="BK6" s="888"/>
      <c r="BL6" s="892"/>
      <c r="BM6" s="889"/>
      <c r="BO6" s="890">
        <v>45320</v>
      </c>
      <c r="BP6" s="888"/>
      <c r="BQ6" s="892"/>
      <c r="BR6" s="889"/>
      <c r="BT6" s="890">
        <v>45351</v>
      </c>
      <c r="BU6" s="888"/>
      <c r="BV6" s="892"/>
      <c r="BW6" s="889"/>
      <c r="BY6" s="890">
        <v>45380</v>
      </c>
      <c r="BZ6" s="888"/>
      <c r="CA6" s="892"/>
      <c r="CB6" s="889"/>
      <c r="CD6" s="890">
        <v>45411</v>
      </c>
      <c r="CE6" s="888"/>
      <c r="CF6" s="892"/>
      <c r="CG6" s="889"/>
      <c r="CI6" s="890">
        <v>45441</v>
      </c>
      <c r="CJ6" s="888"/>
      <c r="CK6" s="892"/>
      <c r="CL6" s="889"/>
      <c r="CN6" s="890">
        <v>45472</v>
      </c>
      <c r="CO6" s="888"/>
      <c r="CP6" s="892"/>
      <c r="CQ6" s="889"/>
      <c r="CS6" s="890">
        <v>45502</v>
      </c>
      <c r="CT6" s="888"/>
      <c r="CU6" s="892"/>
      <c r="CV6" s="889"/>
      <c r="CX6" s="890">
        <v>45533</v>
      </c>
      <c r="CY6" s="888"/>
      <c r="CZ6" s="892"/>
      <c r="DA6" s="889"/>
      <c r="DC6" s="890">
        <v>45564</v>
      </c>
      <c r="DD6" s="888"/>
      <c r="DE6" s="892"/>
      <c r="DF6" s="889"/>
      <c r="DH6" s="890">
        <v>45594</v>
      </c>
      <c r="DI6" s="888"/>
      <c r="DJ6" s="892"/>
      <c r="DK6" s="889"/>
      <c r="DM6" s="890">
        <v>45625</v>
      </c>
      <c r="DN6" s="888"/>
      <c r="DO6" s="892"/>
      <c r="DP6" s="889"/>
    </row>
    <row r="7" spans="1:120">
      <c r="B7" s="890">
        <v>44925</v>
      </c>
      <c r="C7" s="889"/>
      <c r="D7" s="889"/>
      <c r="E7" s="889"/>
      <c r="G7" s="890">
        <v>44956</v>
      </c>
      <c r="H7" s="889"/>
      <c r="I7" s="887">
        <v>1200</v>
      </c>
      <c r="J7" s="889"/>
      <c r="L7" s="890">
        <v>44987</v>
      </c>
      <c r="M7" s="889"/>
      <c r="N7" s="889"/>
      <c r="O7" s="889"/>
      <c r="Q7" s="890">
        <v>45015</v>
      </c>
      <c r="R7" s="889"/>
      <c r="S7" s="889"/>
      <c r="T7" s="889"/>
      <c r="V7" s="890">
        <v>45046</v>
      </c>
      <c r="W7" s="889"/>
      <c r="X7" s="889"/>
      <c r="Y7" s="889"/>
      <c r="AA7" s="890">
        <v>45076</v>
      </c>
      <c r="AB7" s="889"/>
      <c r="AC7" s="889"/>
      <c r="AD7" s="889"/>
      <c r="AF7" s="890">
        <v>45107</v>
      </c>
      <c r="AG7" s="889"/>
      <c r="AH7" s="889"/>
      <c r="AI7" s="889"/>
      <c r="AK7" s="890">
        <v>45137</v>
      </c>
      <c r="AL7" s="891"/>
      <c r="AM7" s="892">
        <f>900+300</f>
        <v>1200</v>
      </c>
      <c r="AN7" s="889"/>
      <c r="AP7" s="890">
        <v>45168</v>
      </c>
      <c r="AQ7" s="891"/>
      <c r="AR7" s="892">
        <v>1200</v>
      </c>
      <c r="AS7" s="889"/>
      <c r="AU7" s="890">
        <v>45199</v>
      </c>
      <c r="AV7" s="891"/>
      <c r="AW7" s="892">
        <v>900</v>
      </c>
      <c r="AX7" s="889"/>
      <c r="AZ7" s="890">
        <v>45229</v>
      </c>
      <c r="BA7" s="891"/>
      <c r="BB7" s="892">
        <v>1200</v>
      </c>
      <c r="BC7" s="889"/>
      <c r="BE7" s="890">
        <v>45260</v>
      </c>
      <c r="BF7" s="891"/>
      <c r="BG7" s="892">
        <v>1200</v>
      </c>
      <c r="BH7" s="889"/>
      <c r="BJ7" s="890">
        <v>45290</v>
      </c>
      <c r="BK7" s="891"/>
      <c r="BL7" s="892"/>
      <c r="BM7" s="889"/>
      <c r="BO7" s="890">
        <v>45321</v>
      </c>
      <c r="BP7" s="891"/>
      <c r="BQ7" s="892"/>
      <c r="BR7" s="889"/>
      <c r="BT7" s="890">
        <v>45352</v>
      </c>
      <c r="BU7" s="891"/>
      <c r="BV7" s="892"/>
      <c r="BW7" s="889"/>
      <c r="BY7" s="890">
        <v>45381</v>
      </c>
      <c r="BZ7" s="891"/>
      <c r="CA7" s="892"/>
      <c r="CB7" s="889"/>
      <c r="CD7" s="890">
        <v>45412</v>
      </c>
      <c r="CE7" s="891"/>
      <c r="CF7" s="892"/>
      <c r="CG7" s="889"/>
      <c r="CI7" s="890">
        <v>45442</v>
      </c>
      <c r="CJ7" s="891"/>
      <c r="CK7" s="892"/>
      <c r="CL7" s="889"/>
      <c r="CN7" s="890">
        <v>45473</v>
      </c>
      <c r="CO7" s="891"/>
      <c r="CP7" s="892"/>
      <c r="CQ7" s="889"/>
      <c r="CS7" s="890">
        <v>45503</v>
      </c>
      <c r="CT7" s="891"/>
      <c r="CU7" s="892"/>
      <c r="CV7" s="889"/>
      <c r="CX7" s="890">
        <v>45534</v>
      </c>
      <c r="CY7" s="891"/>
      <c r="CZ7" s="892"/>
      <c r="DA7" s="889"/>
      <c r="DC7" s="890">
        <v>45565</v>
      </c>
      <c r="DD7" s="891"/>
      <c r="DE7" s="892"/>
      <c r="DF7" s="889"/>
      <c r="DH7" s="890">
        <v>45595</v>
      </c>
      <c r="DI7" s="891"/>
      <c r="DJ7" s="892"/>
      <c r="DK7" s="889"/>
      <c r="DM7" s="890">
        <v>45626</v>
      </c>
      <c r="DN7" s="891"/>
      <c r="DO7" s="892"/>
      <c r="DP7" s="889"/>
    </row>
    <row r="8" spans="1:120">
      <c r="B8" s="890">
        <v>44926</v>
      </c>
      <c r="C8" s="888"/>
      <c r="D8" s="887">
        <v>1200</v>
      </c>
      <c r="E8" s="889"/>
      <c r="G8" s="890">
        <v>44957</v>
      </c>
      <c r="H8" s="888"/>
      <c r="I8" s="887">
        <v>1198</v>
      </c>
      <c r="J8" s="889"/>
      <c r="L8" s="890">
        <v>44988</v>
      </c>
      <c r="M8" s="888"/>
      <c r="N8" s="887"/>
      <c r="O8" s="889"/>
      <c r="Q8" s="890">
        <v>45016</v>
      </c>
      <c r="R8" s="888"/>
      <c r="S8" s="887"/>
      <c r="T8" s="889"/>
      <c r="V8" s="890">
        <v>45047</v>
      </c>
      <c r="W8" s="888"/>
      <c r="X8" s="887"/>
      <c r="Y8" s="889"/>
      <c r="AA8" s="890">
        <v>45077</v>
      </c>
      <c r="AB8" s="888"/>
      <c r="AC8" s="887"/>
      <c r="AD8" s="889"/>
      <c r="AF8" s="890">
        <v>45108</v>
      </c>
      <c r="AG8" s="888"/>
      <c r="AH8" s="887"/>
      <c r="AI8" s="889"/>
      <c r="AK8" s="890">
        <v>45138</v>
      </c>
      <c r="AL8" s="891"/>
      <c r="AM8" s="892">
        <f>900+301</f>
        <v>1201</v>
      </c>
      <c r="AN8" s="889"/>
      <c r="AP8" s="890">
        <v>45169</v>
      </c>
      <c r="AQ8" s="891"/>
      <c r="AR8" s="892">
        <v>1200</v>
      </c>
      <c r="AS8" s="889"/>
      <c r="AU8" s="890">
        <v>45200</v>
      </c>
      <c r="AV8" s="891"/>
      <c r="AW8" s="892">
        <v>1201</v>
      </c>
      <c r="AX8" s="889"/>
      <c r="AZ8" s="890">
        <v>45230</v>
      </c>
      <c r="BA8" s="891"/>
      <c r="BB8" s="892">
        <v>1200</v>
      </c>
      <c r="BC8" s="889"/>
      <c r="BE8" s="890">
        <v>45261</v>
      </c>
      <c r="BF8" s="891"/>
      <c r="BG8" s="892"/>
      <c r="BH8" s="889"/>
      <c r="BJ8" s="890">
        <v>45291</v>
      </c>
      <c r="BK8" s="891"/>
      <c r="BL8" s="892"/>
      <c r="BM8" s="889"/>
      <c r="BO8" s="890">
        <v>45322</v>
      </c>
      <c r="BP8" s="891"/>
      <c r="BQ8" s="892"/>
      <c r="BR8" s="889"/>
      <c r="BT8" s="890">
        <v>45353</v>
      </c>
      <c r="BU8" s="891"/>
      <c r="BV8" s="892"/>
      <c r="BW8" s="889"/>
      <c r="BY8" s="890">
        <v>45382</v>
      </c>
      <c r="BZ8" s="891"/>
      <c r="CA8" s="892"/>
      <c r="CB8" s="889"/>
      <c r="CD8" s="890">
        <v>45413</v>
      </c>
      <c r="CE8" s="891"/>
      <c r="CF8" s="892"/>
      <c r="CG8" s="889"/>
      <c r="CI8" s="890">
        <v>45443</v>
      </c>
      <c r="CJ8" s="891"/>
      <c r="CK8" s="892"/>
      <c r="CL8" s="889"/>
      <c r="CN8" s="890">
        <v>45474</v>
      </c>
      <c r="CO8" s="891"/>
      <c r="CP8" s="892"/>
      <c r="CQ8" s="889"/>
      <c r="CS8" s="890">
        <v>45504</v>
      </c>
      <c r="CT8" s="891"/>
      <c r="CU8" s="892"/>
      <c r="CV8" s="889"/>
      <c r="CX8" s="890">
        <v>45535</v>
      </c>
      <c r="CY8" s="891"/>
      <c r="CZ8" s="892"/>
      <c r="DA8" s="889"/>
      <c r="DC8" s="890">
        <v>45566</v>
      </c>
      <c r="DD8" s="891"/>
      <c r="DE8" s="892"/>
      <c r="DF8" s="889"/>
      <c r="DH8" s="890">
        <v>45596</v>
      </c>
      <c r="DI8" s="891"/>
      <c r="DJ8" s="892"/>
      <c r="DK8" s="889"/>
      <c r="DM8" s="890">
        <v>45627</v>
      </c>
      <c r="DN8" s="891"/>
      <c r="DO8" s="892"/>
      <c r="DP8" s="889"/>
    </row>
    <row r="9" spans="1:120">
      <c r="B9" s="890">
        <v>44927</v>
      </c>
      <c r="C9" s="891"/>
      <c r="D9" s="892">
        <v>1200</v>
      </c>
      <c r="E9" s="889"/>
      <c r="G9" s="890">
        <v>44958</v>
      </c>
      <c r="H9" s="891"/>
      <c r="I9" s="892"/>
      <c r="J9" s="889"/>
      <c r="L9" s="890">
        <v>44989</v>
      </c>
      <c r="M9" s="891"/>
      <c r="N9" s="892"/>
      <c r="O9" s="889"/>
      <c r="Q9" s="890">
        <v>45017</v>
      </c>
      <c r="R9" s="891"/>
      <c r="S9" s="892"/>
      <c r="T9" s="889"/>
      <c r="V9" s="890">
        <v>45048</v>
      </c>
      <c r="W9" s="891"/>
      <c r="X9" s="892"/>
      <c r="Y9" s="889"/>
      <c r="AA9" s="890">
        <v>45078</v>
      </c>
      <c r="AB9" s="891"/>
      <c r="AC9" s="892"/>
      <c r="AD9" s="889"/>
      <c r="AF9" s="890">
        <v>45109</v>
      </c>
      <c r="AG9" s="891"/>
      <c r="AH9" s="892"/>
      <c r="AI9" s="889"/>
      <c r="AK9" s="890">
        <v>45139</v>
      </c>
      <c r="AL9" s="888"/>
      <c r="AM9" s="887">
        <f>900+299</f>
        <v>1199</v>
      </c>
      <c r="AN9" s="889"/>
      <c r="AP9" s="890">
        <v>45170</v>
      </c>
      <c r="AQ9" s="888"/>
      <c r="AR9" s="887">
        <v>900</v>
      </c>
      <c r="AS9" s="889"/>
      <c r="AU9" s="890">
        <v>45201</v>
      </c>
      <c r="AV9" s="888"/>
      <c r="AW9" s="887">
        <v>1202</v>
      </c>
      <c r="AX9" s="889"/>
      <c r="AZ9" s="890">
        <v>45231</v>
      </c>
      <c r="BA9" s="888"/>
      <c r="BB9" s="887">
        <v>1200</v>
      </c>
      <c r="BC9" s="889"/>
      <c r="BE9" s="890">
        <v>45262</v>
      </c>
      <c r="BF9" s="888"/>
      <c r="BG9" s="887">
        <v>900</v>
      </c>
      <c r="BH9" s="889"/>
      <c r="BJ9" s="890">
        <v>45292</v>
      </c>
      <c r="BK9" s="888"/>
      <c r="BL9" s="887"/>
      <c r="BM9" s="889"/>
      <c r="BO9" s="890">
        <v>45323</v>
      </c>
      <c r="BP9" s="888"/>
      <c r="BQ9" s="887"/>
      <c r="BR9" s="889"/>
      <c r="BT9" s="890">
        <v>45354</v>
      </c>
      <c r="BU9" s="888"/>
      <c r="BV9" s="887"/>
      <c r="BW9" s="889"/>
      <c r="BY9" s="890">
        <v>45383</v>
      </c>
      <c r="BZ9" s="888"/>
      <c r="CA9" s="887"/>
      <c r="CB9" s="889"/>
      <c r="CD9" s="890">
        <v>45414</v>
      </c>
      <c r="CE9" s="888"/>
      <c r="CF9" s="887"/>
      <c r="CG9" s="889"/>
      <c r="CI9" s="890">
        <v>45444</v>
      </c>
      <c r="CJ9" s="888"/>
      <c r="CK9" s="887"/>
      <c r="CL9" s="889"/>
      <c r="CN9" s="890">
        <v>45475</v>
      </c>
      <c r="CO9" s="888"/>
      <c r="CP9" s="887"/>
      <c r="CQ9" s="889"/>
      <c r="CS9" s="890">
        <v>45505</v>
      </c>
      <c r="CT9" s="888"/>
      <c r="CU9" s="887"/>
      <c r="CV9" s="889"/>
      <c r="CX9" s="890">
        <v>45536</v>
      </c>
      <c r="CY9" s="888"/>
      <c r="CZ9" s="887"/>
      <c r="DA9" s="889"/>
      <c r="DC9" s="890">
        <v>45567</v>
      </c>
      <c r="DD9" s="888"/>
      <c r="DE9" s="887"/>
      <c r="DF9" s="889"/>
      <c r="DH9" s="890">
        <v>45597</v>
      </c>
      <c r="DI9" s="888"/>
      <c r="DJ9" s="887"/>
      <c r="DK9" s="889"/>
      <c r="DM9" s="890">
        <v>45628</v>
      </c>
      <c r="DN9" s="888"/>
      <c r="DO9" s="887"/>
      <c r="DP9" s="889"/>
    </row>
    <row r="10" spans="1:120">
      <c r="B10" s="890">
        <v>44928</v>
      </c>
      <c r="C10" s="891"/>
      <c r="D10" s="892">
        <v>1200</v>
      </c>
      <c r="E10" s="889"/>
      <c r="G10" s="890">
        <v>44959</v>
      </c>
      <c r="H10" s="891"/>
      <c r="I10" s="892"/>
      <c r="J10" s="889"/>
      <c r="L10" s="890">
        <v>44990</v>
      </c>
      <c r="M10" s="891"/>
      <c r="N10" s="892"/>
      <c r="O10" s="889"/>
      <c r="Q10" s="890">
        <v>45018</v>
      </c>
      <c r="R10" s="891"/>
      <c r="S10" s="892"/>
      <c r="T10" s="889"/>
      <c r="V10" s="890">
        <v>45049</v>
      </c>
      <c r="W10" s="891"/>
      <c r="X10" s="892"/>
      <c r="Y10" s="889"/>
      <c r="AA10" s="890">
        <v>45079</v>
      </c>
      <c r="AB10" s="891"/>
      <c r="AC10" s="892"/>
      <c r="AD10" s="889"/>
      <c r="AF10" s="890">
        <v>45110</v>
      </c>
      <c r="AG10" s="891"/>
      <c r="AH10" s="892"/>
      <c r="AI10" s="889"/>
      <c r="AK10" s="890">
        <v>45140</v>
      </c>
      <c r="AL10" s="891"/>
      <c r="AM10" s="892">
        <f>900+300</f>
        <v>1200</v>
      </c>
      <c r="AN10" s="889"/>
      <c r="AP10" s="890">
        <v>45171</v>
      </c>
      <c r="AQ10" s="891"/>
      <c r="AR10" s="892">
        <v>900</v>
      </c>
      <c r="AS10" s="889"/>
      <c r="AU10" s="890">
        <v>45202</v>
      </c>
      <c r="AV10" s="891"/>
      <c r="AW10" s="892">
        <v>1200</v>
      </c>
      <c r="AX10" s="889"/>
      <c r="AZ10" s="890">
        <v>45232</v>
      </c>
      <c r="BA10" s="891"/>
      <c r="BB10" s="892">
        <v>1200</v>
      </c>
      <c r="BC10" s="889"/>
      <c r="BE10" s="890">
        <v>45263</v>
      </c>
      <c r="BF10" s="891"/>
      <c r="BG10" s="892">
        <v>1200</v>
      </c>
      <c r="BH10" s="889"/>
      <c r="BJ10" s="890">
        <v>45293</v>
      </c>
      <c r="BK10" s="891"/>
      <c r="BL10" s="892"/>
      <c r="BM10" s="889"/>
      <c r="BO10" s="890">
        <v>45324</v>
      </c>
      <c r="BP10" s="891"/>
      <c r="BQ10" s="892"/>
      <c r="BR10" s="889"/>
      <c r="BT10" s="890">
        <v>45355</v>
      </c>
      <c r="BU10" s="891"/>
      <c r="BV10" s="892"/>
      <c r="BW10" s="889"/>
      <c r="BY10" s="890">
        <v>45384</v>
      </c>
      <c r="BZ10" s="891"/>
      <c r="CA10" s="892"/>
      <c r="CB10" s="889"/>
      <c r="CD10" s="890">
        <v>45415</v>
      </c>
      <c r="CE10" s="891"/>
      <c r="CF10" s="892"/>
      <c r="CG10" s="889"/>
      <c r="CI10" s="890">
        <v>45445</v>
      </c>
      <c r="CJ10" s="891"/>
      <c r="CK10" s="892"/>
      <c r="CL10" s="889"/>
      <c r="CN10" s="890">
        <v>45476</v>
      </c>
      <c r="CO10" s="891"/>
      <c r="CP10" s="892"/>
      <c r="CQ10" s="889"/>
      <c r="CS10" s="890">
        <v>45506</v>
      </c>
      <c r="CT10" s="891"/>
      <c r="CU10" s="892"/>
      <c r="CV10" s="889"/>
      <c r="CX10" s="890">
        <v>45537</v>
      </c>
      <c r="CY10" s="891"/>
      <c r="CZ10" s="892"/>
      <c r="DA10" s="889"/>
      <c r="DC10" s="890">
        <v>45568</v>
      </c>
      <c r="DD10" s="891"/>
      <c r="DE10" s="892"/>
      <c r="DF10" s="889"/>
      <c r="DH10" s="890">
        <v>45598</v>
      </c>
      <c r="DI10" s="891"/>
      <c r="DJ10" s="892"/>
      <c r="DK10" s="889"/>
      <c r="DM10" s="890">
        <v>45629</v>
      </c>
      <c r="DN10" s="891"/>
      <c r="DO10" s="892"/>
      <c r="DP10" s="889"/>
    </row>
    <row r="11" spans="1:120">
      <c r="B11" s="890">
        <v>44929</v>
      </c>
      <c r="C11" s="891"/>
      <c r="D11" s="892">
        <v>1200</v>
      </c>
      <c r="E11" s="889"/>
      <c r="G11" s="890">
        <v>44960</v>
      </c>
      <c r="H11" s="891"/>
      <c r="I11" s="892"/>
      <c r="J11" s="889"/>
      <c r="L11" s="890">
        <v>44991</v>
      </c>
      <c r="M11" s="891"/>
      <c r="N11" s="892"/>
      <c r="O11" s="889"/>
      <c r="Q11" s="890">
        <v>45019</v>
      </c>
      <c r="R11" s="891"/>
      <c r="S11" s="892"/>
      <c r="T11" s="889"/>
      <c r="V11" s="890">
        <v>45050</v>
      </c>
      <c r="W11" s="891"/>
      <c r="X11" s="892"/>
      <c r="Y11" s="889"/>
      <c r="AA11" s="890">
        <v>45080</v>
      </c>
      <c r="AB11" s="891"/>
      <c r="AC11" s="892"/>
      <c r="AD11" s="889"/>
      <c r="AF11" s="890">
        <v>45111</v>
      </c>
      <c r="AG11" s="891"/>
      <c r="AH11" s="892">
        <f>900+300</f>
        <v>1200</v>
      </c>
      <c r="AI11" s="889"/>
      <c r="AK11" s="890">
        <v>45141</v>
      </c>
      <c r="AL11" s="891"/>
      <c r="AM11" s="892">
        <f>900+300</f>
        <v>1200</v>
      </c>
      <c r="AN11" s="889"/>
      <c r="AP11" s="890">
        <v>45172</v>
      </c>
      <c r="AQ11" s="891"/>
      <c r="AR11" s="892">
        <v>1200</v>
      </c>
      <c r="AS11" s="889"/>
      <c r="AU11" s="890">
        <v>45203</v>
      </c>
      <c r="AV11" s="891"/>
      <c r="AW11" s="892">
        <v>1200</v>
      </c>
      <c r="AX11" s="889"/>
      <c r="AZ11" s="890">
        <v>45233</v>
      </c>
      <c r="BA11" s="891"/>
      <c r="BB11" s="892"/>
      <c r="BC11" s="889"/>
      <c r="BE11" s="890">
        <v>45264</v>
      </c>
      <c r="BF11" s="891"/>
      <c r="BG11" s="892">
        <v>1200</v>
      </c>
      <c r="BH11" s="889"/>
      <c r="BJ11" s="890">
        <v>45294</v>
      </c>
      <c r="BK11" s="891"/>
      <c r="BL11" s="892"/>
      <c r="BM11" s="889"/>
      <c r="BO11" s="890">
        <v>45325</v>
      </c>
      <c r="BP11" s="891"/>
      <c r="BQ11" s="892"/>
      <c r="BR11" s="889"/>
      <c r="BT11" s="890">
        <v>45356</v>
      </c>
      <c r="BU11" s="891"/>
      <c r="BV11" s="892"/>
      <c r="BW11" s="889"/>
      <c r="BY11" s="890">
        <v>45385</v>
      </c>
      <c r="BZ11" s="891"/>
      <c r="CA11" s="892"/>
      <c r="CB11" s="889"/>
      <c r="CD11" s="890">
        <v>45416</v>
      </c>
      <c r="CE11" s="891"/>
      <c r="CF11" s="892"/>
      <c r="CG11" s="889"/>
      <c r="CI11" s="890">
        <v>45446</v>
      </c>
      <c r="CJ11" s="891"/>
      <c r="CK11" s="892"/>
      <c r="CL11" s="889"/>
      <c r="CN11" s="890">
        <v>45477</v>
      </c>
      <c r="CO11" s="891"/>
      <c r="CP11" s="892"/>
      <c r="CQ11" s="889"/>
      <c r="CS11" s="890">
        <v>45507</v>
      </c>
      <c r="CT11" s="891"/>
      <c r="CU11" s="892"/>
      <c r="CV11" s="889"/>
      <c r="CX11" s="890">
        <v>45538</v>
      </c>
      <c r="CY11" s="891"/>
      <c r="CZ11" s="892"/>
      <c r="DA11" s="889"/>
      <c r="DC11" s="890">
        <v>45569</v>
      </c>
      <c r="DD11" s="891"/>
      <c r="DE11" s="892"/>
      <c r="DF11" s="889"/>
      <c r="DH11" s="890">
        <v>45599</v>
      </c>
      <c r="DI11" s="891"/>
      <c r="DJ11" s="892"/>
      <c r="DK11" s="889"/>
      <c r="DM11" s="890">
        <v>45630</v>
      </c>
      <c r="DN11" s="891"/>
      <c r="DO11" s="892"/>
      <c r="DP11" s="889"/>
    </row>
    <row r="12" spans="1:120">
      <c r="B12" s="890">
        <v>44930</v>
      </c>
      <c r="C12" s="891"/>
      <c r="D12" s="892">
        <v>1200</v>
      </c>
      <c r="E12" s="889"/>
      <c r="G12" s="890">
        <v>44961</v>
      </c>
      <c r="H12" s="891"/>
      <c r="I12" s="892"/>
      <c r="J12" s="889"/>
      <c r="L12" s="890">
        <v>44992</v>
      </c>
      <c r="M12" s="891"/>
      <c r="N12" s="892"/>
      <c r="O12" s="889"/>
      <c r="Q12" s="890">
        <v>45020</v>
      </c>
      <c r="R12" s="891"/>
      <c r="S12" s="892"/>
      <c r="T12" s="889"/>
      <c r="V12" s="890">
        <v>45051</v>
      </c>
      <c r="W12" s="891"/>
      <c r="X12" s="892"/>
      <c r="Y12" s="889"/>
      <c r="AA12" s="890">
        <v>45081</v>
      </c>
      <c r="AB12" s="891"/>
      <c r="AC12" s="892"/>
      <c r="AD12" s="889"/>
      <c r="AF12" s="890">
        <v>45112</v>
      </c>
      <c r="AG12" s="891"/>
      <c r="AH12" s="892">
        <f>900+300</f>
        <v>1200</v>
      </c>
      <c r="AI12" s="889"/>
      <c r="AK12" s="890">
        <v>45142</v>
      </c>
      <c r="AL12" s="891"/>
      <c r="AM12" s="892"/>
      <c r="AN12" s="889"/>
      <c r="AP12" s="890">
        <v>45173</v>
      </c>
      <c r="AQ12" s="891"/>
      <c r="AR12" s="892">
        <v>1197</v>
      </c>
      <c r="AS12" s="889"/>
      <c r="AU12" s="890">
        <v>45204</v>
      </c>
      <c r="AV12" s="891"/>
      <c r="AW12" s="892">
        <v>1197</v>
      </c>
      <c r="AX12" s="889"/>
      <c r="AZ12" s="890">
        <v>45234</v>
      </c>
      <c r="BA12" s="891"/>
      <c r="BB12" s="892"/>
      <c r="BC12" s="889"/>
      <c r="BE12" s="890">
        <v>45265</v>
      </c>
      <c r="BF12" s="891"/>
      <c r="BG12" s="892">
        <v>300</v>
      </c>
      <c r="BH12" s="889"/>
      <c r="BJ12" s="890">
        <v>45295</v>
      </c>
      <c r="BK12" s="891"/>
      <c r="BL12" s="892"/>
      <c r="BM12" s="889"/>
      <c r="BO12" s="890">
        <v>45326</v>
      </c>
      <c r="BP12" s="891"/>
      <c r="BQ12" s="892"/>
      <c r="BR12" s="889"/>
      <c r="BT12" s="890">
        <v>45357</v>
      </c>
      <c r="BU12" s="891"/>
      <c r="BV12" s="892"/>
      <c r="BW12" s="889"/>
      <c r="BY12" s="890">
        <v>45386</v>
      </c>
      <c r="BZ12" s="891"/>
      <c r="CA12" s="892"/>
      <c r="CB12" s="889"/>
      <c r="CD12" s="890">
        <v>45417</v>
      </c>
      <c r="CE12" s="891"/>
      <c r="CF12" s="892"/>
      <c r="CG12" s="889"/>
      <c r="CI12" s="890">
        <v>45447</v>
      </c>
      <c r="CJ12" s="891"/>
      <c r="CK12" s="892"/>
      <c r="CL12" s="889"/>
      <c r="CN12" s="890">
        <v>45478</v>
      </c>
      <c r="CO12" s="891"/>
      <c r="CP12" s="892"/>
      <c r="CQ12" s="889"/>
      <c r="CS12" s="890">
        <v>45508</v>
      </c>
      <c r="CT12" s="891"/>
      <c r="CU12" s="892"/>
      <c r="CV12" s="889"/>
      <c r="CX12" s="890">
        <v>45539</v>
      </c>
      <c r="CY12" s="891"/>
      <c r="CZ12" s="892"/>
      <c r="DA12" s="889"/>
      <c r="DC12" s="890">
        <v>45570</v>
      </c>
      <c r="DD12" s="891"/>
      <c r="DE12" s="892"/>
      <c r="DF12" s="889"/>
      <c r="DH12" s="890">
        <v>45600</v>
      </c>
      <c r="DI12" s="891"/>
      <c r="DJ12" s="892"/>
      <c r="DK12" s="889"/>
      <c r="DM12" s="890">
        <v>45631</v>
      </c>
      <c r="DN12" s="891"/>
      <c r="DO12" s="892"/>
      <c r="DP12" s="889"/>
    </row>
    <row r="13" spans="1:120">
      <c r="B13" s="890">
        <v>44931</v>
      </c>
      <c r="C13" s="891"/>
      <c r="D13" s="892"/>
      <c r="E13" s="889"/>
      <c r="G13" s="890">
        <v>44962</v>
      </c>
      <c r="H13" s="891"/>
      <c r="I13" s="892"/>
      <c r="J13" s="889"/>
      <c r="L13" s="890">
        <v>44993</v>
      </c>
      <c r="M13" s="891"/>
      <c r="N13" s="892"/>
      <c r="O13" s="889"/>
      <c r="Q13" s="890">
        <v>45021</v>
      </c>
      <c r="R13" s="891"/>
      <c r="S13" s="892"/>
      <c r="T13" s="889"/>
      <c r="V13" s="890">
        <v>45052</v>
      </c>
      <c r="W13" s="891"/>
      <c r="X13" s="892"/>
      <c r="Y13" s="889"/>
      <c r="AA13" s="890">
        <v>45082</v>
      </c>
      <c r="AB13" s="891"/>
      <c r="AC13" s="892"/>
      <c r="AD13" s="889"/>
      <c r="AF13" s="890">
        <v>45113</v>
      </c>
      <c r="AG13" s="891"/>
      <c r="AH13" s="892">
        <f>900+300</f>
        <v>1200</v>
      </c>
      <c r="AI13" s="889"/>
      <c r="AK13" s="890">
        <v>45143</v>
      </c>
      <c r="AL13" s="891"/>
      <c r="AM13" s="892"/>
      <c r="AN13" s="889"/>
      <c r="AP13" s="890">
        <v>45174</v>
      </c>
      <c r="AQ13" s="891"/>
      <c r="AR13" s="892">
        <v>1200</v>
      </c>
      <c r="AS13" s="889"/>
      <c r="AU13" s="890">
        <v>45205</v>
      </c>
      <c r="AV13" s="891"/>
      <c r="AW13" s="892"/>
      <c r="AX13" s="889"/>
      <c r="AZ13" s="890">
        <v>45235</v>
      </c>
      <c r="BA13" s="891"/>
      <c r="BB13" s="892">
        <v>1200</v>
      </c>
      <c r="BC13" s="889"/>
      <c r="BE13" s="890">
        <v>45266</v>
      </c>
      <c r="BF13" s="891"/>
      <c r="BG13" s="892">
        <v>1200</v>
      </c>
      <c r="BH13" s="889"/>
      <c r="BJ13" s="890">
        <v>45296</v>
      </c>
      <c r="BK13" s="891"/>
      <c r="BL13" s="892"/>
      <c r="BM13" s="889"/>
      <c r="BO13" s="890">
        <v>45327</v>
      </c>
      <c r="BP13" s="891"/>
      <c r="BQ13" s="892"/>
      <c r="BR13" s="889"/>
      <c r="BT13" s="890">
        <v>45358</v>
      </c>
      <c r="BU13" s="891"/>
      <c r="BV13" s="892"/>
      <c r="BW13" s="889"/>
      <c r="BY13" s="890">
        <v>45387</v>
      </c>
      <c r="BZ13" s="891"/>
      <c r="CA13" s="892"/>
      <c r="CB13" s="889"/>
      <c r="CD13" s="890">
        <v>45418</v>
      </c>
      <c r="CE13" s="891"/>
      <c r="CF13" s="892"/>
      <c r="CG13" s="889"/>
      <c r="CI13" s="890">
        <v>45448</v>
      </c>
      <c r="CJ13" s="891"/>
      <c r="CK13" s="892"/>
      <c r="CL13" s="889"/>
      <c r="CN13" s="890">
        <v>45479</v>
      </c>
      <c r="CO13" s="891"/>
      <c r="CP13" s="892"/>
      <c r="CQ13" s="889"/>
      <c r="CS13" s="890">
        <v>45509</v>
      </c>
      <c r="CT13" s="891"/>
      <c r="CU13" s="892"/>
      <c r="CV13" s="889"/>
      <c r="CX13" s="890">
        <v>45540</v>
      </c>
      <c r="CY13" s="891"/>
      <c r="CZ13" s="892"/>
      <c r="DA13" s="889"/>
      <c r="DC13" s="890">
        <v>45571</v>
      </c>
      <c r="DD13" s="891"/>
      <c r="DE13" s="892"/>
      <c r="DF13" s="889"/>
      <c r="DH13" s="890">
        <v>45601</v>
      </c>
      <c r="DI13" s="891"/>
      <c r="DJ13" s="892"/>
      <c r="DK13" s="889"/>
      <c r="DM13" s="890">
        <v>45632</v>
      </c>
      <c r="DN13" s="891"/>
      <c r="DO13" s="892"/>
      <c r="DP13" s="889"/>
    </row>
    <row r="14" spans="1:120">
      <c r="B14" s="890">
        <v>44932</v>
      </c>
      <c r="C14" s="891"/>
      <c r="D14" s="892"/>
      <c r="E14" s="889"/>
      <c r="G14" s="890">
        <v>44963</v>
      </c>
      <c r="H14" s="891"/>
      <c r="I14" s="892"/>
      <c r="J14" s="889"/>
      <c r="L14" s="890">
        <v>44994</v>
      </c>
      <c r="M14" s="891"/>
      <c r="N14" s="892"/>
      <c r="O14" s="889"/>
      <c r="Q14" s="890">
        <v>45022</v>
      </c>
      <c r="R14" s="891"/>
      <c r="S14" s="892"/>
      <c r="T14" s="889"/>
      <c r="V14" s="890">
        <v>45053</v>
      </c>
      <c r="W14" s="891"/>
      <c r="X14" s="892"/>
      <c r="Y14" s="889"/>
      <c r="AA14" s="890">
        <v>45083</v>
      </c>
      <c r="AB14" s="891"/>
      <c r="AC14" s="892"/>
      <c r="AD14" s="889"/>
      <c r="AF14" s="890">
        <v>45114</v>
      </c>
      <c r="AG14" s="891"/>
      <c r="AH14" s="892"/>
      <c r="AI14" s="889"/>
      <c r="AK14" s="890">
        <v>45144</v>
      </c>
      <c r="AL14" s="891"/>
      <c r="AM14" s="892">
        <v>900</v>
      </c>
      <c r="AN14" s="889"/>
      <c r="AP14" s="890">
        <v>45175</v>
      </c>
      <c r="AQ14" s="891"/>
      <c r="AR14" s="892">
        <v>1200</v>
      </c>
      <c r="AS14" s="889"/>
      <c r="AU14" s="890">
        <v>45206</v>
      </c>
      <c r="AV14" s="891"/>
      <c r="AW14" s="892"/>
      <c r="AX14" s="889"/>
      <c r="AZ14" s="890">
        <v>45236</v>
      </c>
      <c r="BA14" s="891"/>
      <c r="BB14" s="892">
        <v>1200</v>
      </c>
      <c r="BC14" s="889"/>
      <c r="BE14" s="890">
        <v>45267</v>
      </c>
      <c r="BF14" s="891"/>
      <c r="BG14" s="892">
        <v>1200</v>
      </c>
      <c r="BH14" s="889"/>
      <c r="BJ14" s="890">
        <v>45297</v>
      </c>
      <c r="BK14" s="891"/>
      <c r="BL14" s="892"/>
      <c r="BM14" s="889"/>
      <c r="BO14" s="890">
        <v>45328</v>
      </c>
      <c r="BP14" s="891"/>
      <c r="BQ14" s="892"/>
      <c r="BR14" s="889"/>
      <c r="BT14" s="890">
        <v>45359</v>
      </c>
      <c r="BU14" s="891"/>
      <c r="BV14" s="892"/>
      <c r="BW14" s="889"/>
      <c r="BY14" s="890">
        <v>45388</v>
      </c>
      <c r="BZ14" s="891"/>
      <c r="CA14" s="892"/>
      <c r="CB14" s="889"/>
      <c r="CD14" s="890">
        <v>45419</v>
      </c>
      <c r="CE14" s="891"/>
      <c r="CF14" s="892"/>
      <c r="CG14" s="889"/>
      <c r="CI14" s="890">
        <v>45449</v>
      </c>
      <c r="CJ14" s="891"/>
      <c r="CK14" s="892"/>
      <c r="CL14" s="889"/>
      <c r="CN14" s="890">
        <v>45480</v>
      </c>
      <c r="CO14" s="891"/>
      <c r="CP14" s="892"/>
      <c r="CQ14" s="889"/>
      <c r="CS14" s="890">
        <v>45510</v>
      </c>
      <c r="CT14" s="891"/>
      <c r="CU14" s="892"/>
      <c r="CV14" s="889"/>
      <c r="CX14" s="890">
        <v>45541</v>
      </c>
      <c r="CY14" s="891"/>
      <c r="CZ14" s="892"/>
      <c r="DA14" s="889"/>
      <c r="DC14" s="890">
        <v>45572</v>
      </c>
      <c r="DD14" s="891"/>
      <c r="DE14" s="892"/>
      <c r="DF14" s="889"/>
      <c r="DH14" s="890">
        <v>45602</v>
      </c>
      <c r="DI14" s="891"/>
      <c r="DJ14" s="892"/>
      <c r="DK14" s="889"/>
      <c r="DM14" s="890">
        <v>45633</v>
      </c>
      <c r="DN14" s="891"/>
      <c r="DO14" s="892"/>
      <c r="DP14" s="889"/>
    </row>
    <row r="15" spans="1:120">
      <c r="B15" s="890">
        <v>44933</v>
      </c>
      <c r="C15" s="891"/>
      <c r="D15" s="892"/>
      <c r="E15" s="889"/>
      <c r="G15" s="890">
        <v>44964</v>
      </c>
      <c r="H15" s="891"/>
      <c r="I15" s="892"/>
      <c r="J15" s="889"/>
      <c r="L15" s="890">
        <v>44995</v>
      </c>
      <c r="M15" s="891"/>
      <c r="N15" s="892"/>
      <c r="O15" s="889"/>
      <c r="Q15" s="890">
        <v>45023</v>
      </c>
      <c r="R15" s="891"/>
      <c r="S15" s="892"/>
      <c r="T15" s="889"/>
      <c r="V15" s="890">
        <v>45054</v>
      </c>
      <c r="W15" s="891"/>
      <c r="X15" s="892"/>
      <c r="Y15" s="889"/>
      <c r="AA15" s="890">
        <v>45084</v>
      </c>
      <c r="AB15" s="891"/>
      <c r="AC15" s="892"/>
      <c r="AD15" s="889"/>
      <c r="AF15" s="890">
        <v>45115</v>
      </c>
      <c r="AG15" s="891"/>
      <c r="AH15" s="892">
        <v>900</v>
      </c>
      <c r="AI15" s="889"/>
      <c r="AK15" s="890">
        <v>45145</v>
      </c>
      <c r="AL15" s="891"/>
      <c r="AM15" s="892">
        <f>1000+301</f>
        <v>1301</v>
      </c>
      <c r="AN15" s="889"/>
      <c r="AP15" s="890">
        <v>45176</v>
      </c>
      <c r="AQ15" s="891"/>
      <c r="AR15" s="892">
        <v>1200</v>
      </c>
      <c r="AS15" s="889"/>
      <c r="AU15" s="890">
        <v>45207</v>
      </c>
      <c r="AV15" s="891"/>
      <c r="AW15" s="892">
        <v>1200</v>
      </c>
      <c r="AX15" s="889"/>
      <c r="AZ15" s="890">
        <v>45237</v>
      </c>
      <c r="BA15" s="891"/>
      <c r="BB15" s="892">
        <v>1200</v>
      </c>
      <c r="BC15" s="889"/>
      <c r="BE15" s="890">
        <v>45268</v>
      </c>
      <c r="BF15" s="891"/>
      <c r="BG15" s="892"/>
      <c r="BH15" s="889"/>
      <c r="BJ15" s="890">
        <v>45298</v>
      </c>
      <c r="BK15" s="891"/>
      <c r="BL15" s="892"/>
      <c r="BM15" s="889"/>
      <c r="BO15" s="890">
        <v>45329</v>
      </c>
      <c r="BP15" s="891"/>
      <c r="BQ15" s="892"/>
      <c r="BR15" s="889"/>
      <c r="BT15" s="890">
        <v>45360</v>
      </c>
      <c r="BU15" s="891"/>
      <c r="BV15" s="892"/>
      <c r="BW15" s="889"/>
      <c r="BY15" s="890">
        <v>45389</v>
      </c>
      <c r="BZ15" s="891"/>
      <c r="CA15" s="892"/>
      <c r="CB15" s="889"/>
      <c r="CD15" s="890">
        <v>45420</v>
      </c>
      <c r="CE15" s="891"/>
      <c r="CF15" s="892"/>
      <c r="CG15" s="889"/>
      <c r="CI15" s="890">
        <v>45450</v>
      </c>
      <c r="CJ15" s="891"/>
      <c r="CK15" s="892"/>
      <c r="CL15" s="889"/>
      <c r="CN15" s="890">
        <v>45481</v>
      </c>
      <c r="CO15" s="891"/>
      <c r="CP15" s="892"/>
      <c r="CQ15" s="889"/>
      <c r="CS15" s="890">
        <v>45511</v>
      </c>
      <c r="CT15" s="891"/>
      <c r="CU15" s="892"/>
      <c r="CV15" s="889"/>
      <c r="CX15" s="890">
        <v>45542</v>
      </c>
      <c r="CY15" s="891"/>
      <c r="CZ15" s="892"/>
      <c r="DA15" s="889"/>
      <c r="DC15" s="890">
        <v>45573</v>
      </c>
      <c r="DD15" s="891"/>
      <c r="DE15" s="892"/>
      <c r="DF15" s="889"/>
      <c r="DH15" s="890">
        <v>45603</v>
      </c>
      <c r="DI15" s="891"/>
      <c r="DJ15" s="892"/>
      <c r="DK15" s="889"/>
      <c r="DM15" s="890">
        <v>45634</v>
      </c>
      <c r="DN15" s="891"/>
      <c r="DO15" s="892"/>
      <c r="DP15" s="889"/>
    </row>
    <row r="16" spans="1:120">
      <c r="B16" s="890">
        <v>44934</v>
      </c>
      <c r="C16" s="891"/>
      <c r="D16" s="892"/>
      <c r="E16" s="889"/>
      <c r="G16" s="890">
        <v>44965</v>
      </c>
      <c r="H16" s="891"/>
      <c r="I16" s="892"/>
      <c r="J16" s="889"/>
      <c r="L16" s="890">
        <v>44996</v>
      </c>
      <c r="M16" s="891"/>
      <c r="N16" s="892"/>
      <c r="O16" s="889"/>
      <c r="Q16" s="890">
        <v>45024</v>
      </c>
      <c r="R16" s="891"/>
      <c r="S16" s="892"/>
      <c r="T16" s="889"/>
      <c r="V16" s="890">
        <v>45055</v>
      </c>
      <c r="W16" s="891"/>
      <c r="X16" s="892"/>
      <c r="Y16" s="889"/>
      <c r="AA16" s="890">
        <v>45085</v>
      </c>
      <c r="AB16" s="891"/>
      <c r="AC16" s="892"/>
      <c r="AD16" s="889"/>
      <c r="AF16" s="890">
        <v>45116</v>
      </c>
      <c r="AG16" s="891"/>
      <c r="AH16" s="892">
        <f>900+300</f>
        <v>1200</v>
      </c>
      <c r="AI16" s="889"/>
      <c r="AK16" s="890">
        <v>45146</v>
      </c>
      <c r="AL16" s="891"/>
      <c r="AM16" s="892">
        <f>900+300</f>
        <v>1200</v>
      </c>
      <c r="AN16" s="889"/>
      <c r="AP16" s="890">
        <v>45177</v>
      </c>
      <c r="AQ16" s="891"/>
      <c r="AR16" s="892"/>
      <c r="AS16" s="889"/>
      <c r="AU16" s="890">
        <v>45208</v>
      </c>
      <c r="AV16" s="891"/>
      <c r="AW16" s="892">
        <v>1203</v>
      </c>
      <c r="AX16" s="889"/>
      <c r="AZ16" s="890">
        <v>45238</v>
      </c>
      <c r="BA16" s="891"/>
      <c r="BB16" s="892">
        <v>1200</v>
      </c>
      <c r="BC16" s="889"/>
      <c r="BE16" s="890">
        <v>45269</v>
      </c>
      <c r="BF16" s="891"/>
      <c r="BG16" s="892"/>
      <c r="BH16" s="889"/>
      <c r="BJ16" s="890">
        <v>45299</v>
      </c>
      <c r="BK16" s="891"/>
      <c r="BL16" s="892"/>
      <c r="BM16" s="889"/>
      <c r="BO16" s="890">
        <v>45330</v>
      </c>
      <c r="BP16" s="891"/>
      <c r="BQ16" s="892"/>
      <c r="BR16" s="889"/>
      <c r="BT16" s="890">
        <v>45361</v>
      </c>
      <c r="BU16" s="891"/>
      <c r="BV16" s="892"/>
      <c r="BW16" s="889"/>
      <c r="BY16" s="890">
        <v>45390</v>
      </c>
      <c r="BZ16" s="891"/>
      <c r="CA16" s="892"/>
      <c r="CB16" s="889"/>
      <c r="CD16" s="890">
        <v>45421</v>
      </c>
      <c r="CE16" s="891"/>
      <c r="CF16" s="892"/>
      <c r="CG16" s="889"/>
      <c r="CI16" s="890">
        <v>45451</v>
      </c>
      <c r="CJ16" s="891"/>
      <c r="CK16" s="892"/>
      <c r="CL16" s="889"/>
      <c r="CN16" s="890">
        <v>45482</v>
      </c>
      <c r="CO16" s="891"/>
      <c r="CP16" s="892"/>
      <c r="CQ16" s="889"/>
      <c r="CS16" s="890">
        <v>45512</v>
      </c>
      <c r="CT16" s="891"/>
      <c r="CU16" s="892"/>
      <c r="CV16" s="889"/>
      <c r="CX16" s="890">
        <v>45543</v>
      </c>
      <c r="CY16" s="891"/>
      <c r="CZ16" s="892"/>
      <c r="DA16" s="889"/>
      <c r="DC16" s="890">
        <v>45574</v>
      </c>
      <c r="DD16" s="891"/>
      <c r="DE16" s="892"/>
      <c r="DF16" s="889"/>
      <c r="DH16" s="890">
        <v>45604</v>
      </c>
      <c r="DI16" s="891"/>
      <c r="DJ16" s="892"/>
      <c r="DK16" s="889"/>
      <c r="DM16" s="890">
        <v>45635</v>
      </c>
      <c r="DN16" s="891"/>
      <c r="DO16" s="892"/>
      <c r="DP16" s="889"/>
    </row>
    <row r="17" spans="2:120">
      <c r="B17" s="890">
        <v>44935</v>
      </c>
      <c r="C17" s="891"/>
      <c r="D17" s="892">
        <v>1200</v>
      </c>
      <c r="E17" s="889"/>
      <c r="G17" s="890">
        <v>44966</v>
      </c>
      <c r="H17" s="891"/>
      <c r="I17" s="892"/>
      <c r="J17" s="889"/>
      <c r="L17" s="890">
        <v>44997</v>
      </c>
      <c r="M17" s="891"/>
      <c r="N17" s="892"/>
      <c r="O17" s="889"/>
      <c r="Q17" s="890">
        <v>45025</v>
      </c>
      <c r="R17" s="891"/>
      <c r="S17" s="892"/>
      <c r="T17" s="889"/>
      <c r="V17" s="890">
        <v>45056</v>
      </c>
      <c r="W17" s="891"/>
      <c r="X17" s="892"/>
      <c r="Y17" s="889"/>
      <c r="AA17" s="890">
        <v>45086</v>
      </c>
      <c r="AB17" s="891"/>
      <c r="AC17" s="892"/>
      <c r="AD17" s="889"/>
      <c r="AF17" s="890">
        <v>45117</v>
      </c>
      <c r="AG17" s="891"/>
      <c r="AH17" s="892">
        <f>900+300</f>
        <v>1200</v>
      </c>
      <c r="AI17" s="889"/>
      <c r="AK17" s="890">
        <v>45147</v>
      </c>
      <c r="AL17" s="891"/>
      <c r="AM17" s="892">
        <f>900+300</f>
        <v>1200</v>
      </c>
      <c r="AN17" s="889"/>
      <c r="AP17" s="890">
        <v>45178</v>
      </c>
      <c r="AQ17" s="891"/>
      <c r="AR17" s="892"/>
      <c r="AS17" s="889"/>
      <c r="AU17" s="890">
        <v>45209</v>
      </c>
      <c r="AV17" s="891"/>
      <c r="AW17" s="892">
        <v>1199</v>
      </c>
      <c r="AX17" s="889"/>
      <c r="AZ17" s="890">
        <v>45239</v>
      </c>
      <c r="BA17" s="891"/>
      <c r="BB17" s="892">
        <v>1200</v>
      </c>
      <c r="BC17" s="889"/>
      <c r="BE17" s="890">
        <v>45270</v>
      </c>
      <c r="BF17" s="891"/>
      <c r="BG17" s="892">
        <v>1200</v>
      </c>
      <c r="BH17" s="889"/>
      <c r="BJ17" s="890">
        <v>45300</v>
      </c>
      <c r="BK17" s="891"/>
      <c r="BL17" s="892"/>
      <c r="BM17" s="889"/>
      <c r="BO17" s="890">
        <v>45331</v>
      </c>
      <c r="BP17" s="891"/>
      <c r="BQ17" s="892"/>
      <c r="BR17" s="889"/>
      <c r="BT17" s="890">
        <v>45362</v>
      </c>
      <c r="BU17" s="891"/>
      <c r="BV17" s="892"/>
      <c r="BW17" s="889"/>
      <c r="BY17" s="890">
        <v>45391</v>
      </c>
      <c r="BZ17" s="891"/>
      <c r="CA17" s="892"/>
      <c r="CB17" s="889"/>
      <c r="CD17" s="890">
        <v>45422</v>
      </c>
      <c r="CE17" s="891"/>
      <c r="CF17" s="892"/>
      <c r="CG17" s="889"/>
      <c r="CI17" s="890">
        <v>45452</v>
      </c>
      <c r="CJ17" s="891"/>
      <c r="CK17" s="892"/>
      <c r="CL17" s="889"/>
      <c r="CN17" s="890">
        <v>45483</v>
      </c>
      <c r="CO17" s="891"/>
      <c r="CP17" s="892"/>
      <c r="CQ17" s="889"/>
      <c r="CS17" s="890">
        <v>45513</v>
      </c>
      <c r="CT17" s="891"/>
      <c r="CU17" s="892"/>
      <c r="CV17" s="889"/>
      <c r="CX17" s="890">
        <v>45544</v>
      </c>
      <c r="CY17" s="891"/>
      <c r="CZ17" s="892"/>
      <c r="DA17" s="889"/>
      <c r="DC17" s="890">
        <v>45575</v>
      </c>
      <c r="DD17" s="891"/>
      <c r="DE17" s="892"/>
      <c r="DF17" s="889"/>
      <c r="DH17" s="890">
        <v>45605</v>
      </c>
      <c r="DI17" s="891"/>
      <c r="DJ17" s="892"/>
      <c r="DK17" s="889"/>
      <c r="DM17" s="890">
        <v>45636</v>
      </c>
      <c r="DN17" s="891"/>
      <c r="DO17" s="892"/>
      <c r="DP17" s="889"/>
    </row>
    <row r="18" spans="2:120">
      <c r="B18" s="890">
        <v>44936</v>
      </c>
      <c r="C18" s="891"/>
      <c r="D18" s="892">
        <v>900</v>
      </c>
      <c r="E18" s="889"/>
      <c r="G18" s="890">
        <v>44967</v>
      </c>
      <c r="H18" s="891"/>
      <c r="I18" s="892"/>
      <c r="J18" s="889"/>
      <c r="L18" s="890">
        <v>44998</v>
      </c>
      <c r="M18" s="891"/>
      <c r="N18" s="892"/>
      <c r="O18" s="889"/>
      <c r="Q18" s="890">
        <v>45026</v>
      </c>
      <c r="R18" s="891"/>
      <c r="S18" s="892"/>
      <c r="T18" s="889"/>
      <c r="V18" s="890">
        <v>45057</v>
      </c>
      <c r="W18" s="891"/>
      <c r="X18" s="892"/>
      <c r="Y18" s="889"/>
      <c r="AA18" s="890">
        <v>45087</v>
      </c>
      <c r="AB18" s="891"/>
      <c r="AC18" s="892"/>
      <c r="AD18" s="889"/>
      <c r="AF18" s="890">
        <v>45118</v>
      </c>
      <c r="AG18" s="891"/>
      <c r="AH18" s="892">
        <f>900+300</f>
        <v>1200</v>
      </c>
      <c r="AI18" s="889"/>
      <c r="AK18" s="890">
        <v>45148</v>
      </c>
      <c r="AL18" s="891"/>
      <c r="AM18" s="892">
        <f>900+300</f>
        <v>1200</v>
      </c>
      <c r="AN18" s="889"/>
      <c r="AP18" s="890">
        <v>45179</v>
      </c>
      <c r="AQ18" s="891"/>
      <c r="AR18" s="892"/>
      <c r="AS18" s="889"/>
      <c r="AU18" s="890">
        <v>45210</v>
      </c>
      <c r="AV18" s="891"/>
      <c r="AW18" s="892">
        <v>1200</v>
      </c>
      <c r="AX18" s="889"/>
      <c r="AZ18" s="890">
        <v>45240</v>
      </c>
      <c r="BA18" s="891"/>
      <c r="BB18" s="892"/>
      <c r="BC18" s="889"/>
      <c r="BE18" s="890">
        <v>45271</v>
      </c>
      <c r="BF18" s="891"/>
      <c r="BG18" s="892">
        <v>1200</v>
      </c>
      <c r="BH18" s="889"/>
      <c r="BJ18" s="890">
        <v>45301</v>
      </c>
      <c r="BK18" s="891"/>
      <c r="BL18" s="892"/>
      <c r="BM18" s="889"/>
      <c r="BO18" s="890">
        <v>45332</v>
      </c>
      <c r="BP18" s="891"/>
      <c r="BQ18" s="892"/>
      <c r="BR18" s="889"/>
      <c r="BT18" s="890">
        <v>45363</v>
      </c>
      <c r="BU18" s="891"/>
      <c r="BV18" s="892"/>
      <c r="BW18" s="889"/>
      <c r="BY18" s="890">
        <v>45392</v>
      </c>
      <c r="BZ18" s="891"/>
      <c r="CA18" s="892"/>
      <c r="CB18" s="889"/>
      <c r="CD18" s="890">
        <v>45423</v>
      </c>
      <c r="CE18" s="891"/>
      <c r="CF18" s="892"/>
      <c r="CG18" s="889"/>
      <c r="CI18" s="890">
        <v>45453</v>
      </c>
      <c r="CJ18" s="891"/>
      <c r="CK18" s="892"/>
      <c r="CL18" s="889"/>
      <c r="CN18" s="890">
        <v>45484</v>
      </c>
      <c r="CO18" s="891"/>
      <c r="CP18" s="892"/>
      <c r="CQ18" s="889"/>
      <c r="CS18" s="890">
        <v>45514</v>
      </c>
      <c r="CT18" s="891"/>
      <c r="CU18" s="892"/>
      <c r="CV18" s="889"/>
      <c r="CX18" s="890">
        <v>45545</v>
      </c>
      <c r="CY18" s="891"/>
      <c r="CZ18" s="892"/>
      <c r="DA18" s="889"/>
      <c r="DC18" s="890">
        <v>45576</v>
      </c>
      <c r="DD18" s="891"/>
      <c r="DE18" s="892"/>
      <c r="DF18" s="889"/>
      <c r="DH18" s="890">
        <v>45606</v>
      </c>
      <c r="DI18" s="891"/>
      <c r="DJ18" s="892"/>
      <c r="DK18" s="889"/>
      <c r="DM18" s="890">
        <v>45637</v>
      </c>
      <c r="DN18" s="891"/>
      <c r="DO18" s="892"/>
      <c r="DP18" s="889"/>
    </row>
    <row r="19" spans="2:120">
      <c r="B19" s="890">
        <v>44937</v>
      </c>
      <c r="C19" s="891"/>
      <c r="D19" s="892">
        <v>1200</v>
      </c>
      <c r="E19" s="889"/>
      <c r="G19" s="890">
        <v>44968</v>
      </c>
      <c r="H19" s="891"/>
      <c r="I19" s="892"/>
      <c r="J19" s="889"/>
      <c r="L19" s="890">
        <v>44999</v>
      </c>
      <c r="M19" s="891"/>
      <c r="N19" s="892"/>
      <c r="O19" s="889"/>
      <c r="Q19" s="890">
        <v>45027</v>
      </c>
      <c r="R19" s="891"/>
      <c r="S19" s="892"/>
      <c r="T19" s="889"/>
      <c r="V19" s="890">
        <v>45058</v>
      </c>
      <c r="W19" s="891"/>
      <c r="X19" s="892"/>
      <c r="Y19" s="889"/>
      <c r="AA19" s="890">
        <v>45088</v>
      </c>
      <c r="AB19" s="891"/>
      <c r="AC19" s="892"/>
      <c r="AD19" s="889"/>
      <c r="AF19" s="890">
        <v>45119</v>
      </c>
      <c r="AG19" s="891"/>
      <c r="AH19" s="892">
        <f>900+297</f>
        <v>1197</v>
      </c>
      <c r="AI19" s="889"/>
      <c r="AK19" s="890">
        <v>45149</v>
      </c>
      <c r="AL19" s="891"/>
      <c r="AM19" s="892"/>
      <c r="AN19" s="889"/>
      <c r="AP19" s="890">
        <v>45180</v>
      </c>
      <c r="AQ19" s="891"/>
      <c r="AR19" s="892">
        <v>1199</v>
      </c>
      <c r="AS19" s="889"/>
      <c r="AU19" s="890">
        <v>45211</v>
      </c>
      <c r="AV19" s="891"/>
      <c r="AW19" s="892">
        <v>1199</v>
      </c>
      <c r="AX19" s="889"/>
      <c r="AZ19" s="890">
        <v>45241</v>
      </c>
      <c r="BA19" s="891"/>
      <c r="BB19" s="892"/>
      <c r="BC19" s="889"/>
      <c r="BE19" s="890">
        <v>45272</v>
      </c>
      <c r="BF19" s="891"/>
      <c r="BG19" s="892">
        <v>1200</v>
      </c>
      <c r="BH19" s="889"/>
      <c r="BJ19" s="890">
        <v>45302</v>
      </c>
      <c r="BK19" s="891"/>
      <c r="BL19" s="892"/>
      <c r="BM19" s="889"/>
      <c r="BO19" s="890">
        <v>45333</v>
      </c>
      <c r="BP19" s="891"/>
      <c r="BQ19" s="892"/>
      <c r="BR19" s="889"/>
      <c r="BT19" s="890">
        <v>45364</v>
      </c>
      <c r="BU19" s="891"/>
      <c r="BV19" s="892"/>
      <c r="BW19" s="889"/>
      <c r="BY19" s="890">
        <v>45393</v>
      </c>
      <c r="BZ19" s="891"/>
      <c r="CA19" s="892"/>
      <c r="CB19" s="889"/>
      <c r="CD19" s="890">
        <v>45424</v>
      </c>
      <c r="CE19" s="891"/>
      <c r="CF19" s="892"/>
      <c r="CG19" s="889"/>
      <c r="CI19" s="890">
        <v>45454</v>
      </c>
      <c r="CJ19" s="891"/>
      <c r="CK19" s="892"/>
      <c r="CL19" s="889"/>
      <c r="CN19" s="890">
        <v>45485</v>
      </c>
      <c r="CO19" s="891"/>
      <c r="CP19" s="892"/>
      <c r="CQ19" s="889"/>
      <c r="CS19" s="890">
        <v>45515</v>
      </c>
      <c r="CT19" s="891"/>
      <c r="CU19" s="892"/>
      <c r="CV19" s="889"/>
      <c r="CX19" s="890">
        <v>45546</v>
      </c>
      <c r="CY19" s="891"/>
      <c r="CZ19" s="892"/>
      <c r="DA19" s="889"/>
      <c r="DC19" s="890">
        <v>45577</v>
      </c>
      <c r="DD19" s="891"/>
      <c r="DE19" s="892"/>
      <c r="DF19" s="889"/>
      <c r="DH19" s="890">
        <v>45607</v>
      </c>
      <c r="DI19" s="891"/>
      <c r="DJ19" s="892"/>
      <c r="DK19" s="889"/>
      <c r="DM19" s="890">
        <v>45638</v>
      </c>
      <c r="DN19" s="891"/>
      <c r="DO19" s="892"/>
      <c r="DP19" s="889"/>
    </row>
    <row r="20" spans="2:120">
      <c r="B20" s="890">
        <v>44938</v>
      </c>
      <c r="C20" s="891"/>
      <c r="D20" s="892"/>
      <c r="E20" s="889"/>
      <c r="G20" s="890">
        <v>44969</v>
      </c>
      <c r="H20" s="891"/>
      <c r="I20" s="892"/>
      <c r="J20" s="889"/>
      <c r="L20" s="890">
        <v>45000</v>
      </c>
      <c r="M20" s="891"/>
      <c r="N20" s="892"/>
      <c r="O20" s="889"/>
      <c r="Q20" s="890">
        <v>45028</v>
      </c>
      <c r="R20" s="891"/>
      <c r="S20" s="892"/>
      <c r="T20" s="889"/>
      <c r="V20" s="890">
        <v>45059</v>
      </c>
      <c r="W20" s="891"/>
      <c r="X20" s="892"/>
      <c r="Y20" s="889"/>
      <c r="AA20" s="890">
        <v>45089</v>
      </c>
      <c r="AB20" s="891"/>
      <c r="AC20" s="892"/>
      <c r="AD20" s="889"/>
      <c r="AF20" s="890">
        <v>45120</v>
      </c>
      <c r="AG20" s="891"/>
      <c r="AH20" s="892">
        <f>901+500</f>
        <v>1401</v>
      </c>
      <c r="AI20" s="889"/>
      <c r="AK20" s="890">
        <v>45150</v>
      </c>
      <c r="AL20" s="891"/>
      <c r="AM20" s="892"/>
      <c r="AN20" s="889"/>
      <c r="AP20" s="890">
        <v>45181</v>
      </c>
      <c r="AQ20" s="891"/>
      <c r="AR20" s="892">
        <v>1200</v>
      </c>
      <c r="AS20" s="889"/>
      <c r="AU20" s="890">
        <v>45212</v>
      </c>
      <c r="AV20" s="891"/>
      <c r="AW20" s="892"/>
      <c r="AX20" s="889"/>
      <c r="AZ20" s="890">
        <v>45242</v>
      </c>
      <c r="BA20" s="891"/>
      <c r="BB20" s="892">
        <v>1200</v>
      </c>
      <c r="BC20" s="889"/>
      <c r="BE20" s="890">
        <v>45273</v>
      </c>
      <c r="BF20" s="891"/>
      <c r="BG20" s="892">
        <v>1200</v>
      </c>
      <c r="BH20" s="889"/>
      <c r="BJ20" s="890">
        <v>45303</v>
      </c>
      <c r="BK20" s="891"/>
      <c r="BL20" s="892"/>
      <c r="BM20" s="889"/>
      <c r="BO20" s="890">
        <v>45334</v>
      </c>
      <c r="BP20" s="891"/>
      <c r="BQ20" s="892"/>
      <c r="BR20" s="889"/>
      <c r="BT20" s="890">
        <v>45365</v>
      </c>
      <c r="BU20" s="891"/>
      <c r="BV20" s="892"/>
      <c r="BW20" s="889"/>
      <c r="BY20" s="890">
        <v>45394</v>
      </c>
      <c r="BZ20" s="891"/>
      <c r="CA20" s="892"/>
      <c r="CB20" s="889"/>
      <c r="CD20" s="890">
        <v>45425</v>
      </c>
      <c r="CE20" s="891"/>
      <c r="CF20" s="892"/>
      <c r="CG20" s="889"/>
      <c r="CI20" s="890">
        <v>45455</v>
      </c>
      <c r="CJ20" s="891"/>
      <c r="CK20" s="892"/>
      <c r="CL20" s="889"/>
      <c r="CN20" s="890">
        <v>45486</v>
      </c>
      <c r="CO20" s="891"/>
      <c r="CP20" s="892"/>
      <c r="CQ20" s="889"/>
      <c r="CS20" s="890">
        <v>45516</v>
      </c>
      <c r="CT20" s="891"/>
      <c r="CU20" s="892"/>
      <c r="CV20" s="889"/>
      <c r="CX20" s="890">
        <v>45547</v>
      </c>
      <c r="CY20" s="891"/>
      <c r="CZ20" s="892"/>
      <c r="DA20" s="889"/>
      <c r="DC20" s="890">
        <v>45578</v>
      </c>
      <c r="DD20" s="891"/>
      <c r="DE20" s="892"/>
      <c r="DF20" s="889"/>
      <c r="DH20" s="890">
        <v>45608</v>
      </c>
      <c r="DI20" s="891"/>
      <c r="DJ20" s="892"/>
      <c r="DK20" s="889"/>
      <c r="DM20" s="890">
        <v>45639</v>
      </c>
      <c r="DN20" s="891"/>
      <c r="DO20" s="892"/>
      <c r="DP20" s="889"/>
    </row>
    <row r="21" spans="2:120">
      <c r="B21" s="890">
        <v>44939</v>
      </c>
      <c r="C21" s="891"/>
      <c r="D21" s="892">
        <v>900</v>
      </c>
      <c r="E21" s="889"/>
      <c r="G21" s="890">
        <v>44970</v>
      </c>
      <c r="H21" s="891"/>
      <c r="I21" s="892"/>
      <c r="J21" s="889"/>
      <c r="L21" s="890">
        <v>45001</v>
      </c>
      <c r="M21" s="891"/>
      <c r="N21" s="892"/>
      <c r="O21" s="889"/>
      <c r="Q21" s="890">
        <v>45029</v>
      </c>
      <c r="R21" s="891"/>
      <c r="S21" s="892"/>
      <c r="T21" s="889"/>
      <c r="V21" s="890">
        <v>45060</v>
      </c>
      <c r="W21" s="891"/>
      <c r="X21" s="892"/>
      <c r="Y21" s="889"/>
      <c r="AA21" s="890">
        <v>45090</v>
      </c>
      <c r="AB21" s="891"/>
      <c r="AC21" s="892"/>
      <c r="AD21" s="889"/>
      <c r="AF21" s="890">
        <v>45121</v>
      </c>
      <c r="AG21" s="891"/>
      <c r="AH21" s="892"/>
      <c r="AI21" s="889"/>
      <c r="AK21" s="890">
        <v>45151</v>
      </c>
      <c r="AL21" s="891"/>
      <c r="AM21" s="892">
        <f>900+300</f>
        <v>1200</v>
      </c>
      <c r="AN21" s="889"/>
      <c r="AP21" s="890">
        <v>45182</v>
      </c>
      <c r="AQ21" s="891"/>
      <c r="AR21" s="892">
        <v>1200</v>
      </c>
      <c r="AS21" s="889"/>
      <c r="AU21" s="890">
        <v>45213</v>
      </c>
      <c r="AV21" s="891"/>
      <c r="AW21" s="892"/>
      <c r="AX21" s="889"/>
      <c r="AZ21" s="890">
        <v>45243</v>
      </c>
      <c r="BA21" s="891"/>
      <c r="BB21" s="892">
        <v>1200</v>
      </c>
      <c r="BC21" s="889"/>
      <c r="BE21" s="890">
        <v>45274</v>
      </c>
      <c r="BF21" s="891"/>
      <c r="BG21" s="892"/>
      <c r="BH21" s="889"/>
      <c r="BJ21" s="890">
        <v>45304</v>
      </c>
      <c r="BK21" s="891"/>
      <c r="BL21" s="892"/>
      <c r="BM21" s="889"/>
      <c r="BO21" s="890">
        <v>45335</v>
      </c>
      <c r="BP21" s="891"/>
      <c r="BQ21" s="892"/>
      <c r="BR21" s="889"/>
      <c r="BT21" s="890">
        <v>45366</v>
      </c>
      <c r="BU21" s="891"/>
      <c r="BV21" s="892"/>
      <c r="BW21" s="889"/>
      <c r="BY21" s="890">
        <v>45395</v>
      </c>
      <c r="BZ21" s="891"/>
      <c r="CA21" s="892"/>
      <c r="CB21" s="889"/>
      <c r="CD21" s="890">
        <v>45426</v>
      </c>
      <c r="CE21" s="891"/>
      <c r="CF21" s="892"/>
      <c r="CG21" s="889"/>
      <c r="CI21" s="890">
        <v>45456</v>
      </c>
      <c r="CJ21" s="891"/>
      <c r="CK21" s="892"/>
      <c r="CL21" s="889"/>
      <c r="CN21" s="890">
        <v>45487</v>
      </c>
      <c r="CO21" s="891"/>
      <c r="CP21" s="892"/>
      <c r="CQ21" s="889"/>
      <c r="CS21" s="890">
        <v>45517</v>
      </c>
      <c r="CT21" s="891"/>
      <c r="CU21" s="892"/>
      <c r="CV21" s="889"/>
      <c r="CX21" s="890">
        <v>45548</v>
      </c>
      <c r="CY21" s="891"/>
      <c r="CZ21" s="892"/>
      <c r="DA21" s="889"/>
      <c r="DC21" s="890">
        <v>45579</v>
      </c>
      <c r="DD21" s="891"/>
      <c r="DE21" s="892"/>
      <c r="DF21" s="889"/>
      <c r="DH21" s="890">
        <v>45609</v>
      </c>
      <c r="DI21" s="891"/>
      <c r="DJ21" s="892"/>
      <c r="DK21" s="889"/>
      <c r="DM21" s="890">
        <v>45640</v>
      </c>
      <c r="DN21" s="891"/>
      <c r="DO21" s="892"/>
      <c r="DP21" s="889"/>
    </row>
    <row r="22" spans="2:120">
      <c r="B22" s="890">
        <v>44940</v>
      </c>
      <c r="C22" s="891"/>
      <c r="D22" s="892">
        <v>1200</v>
      </c>
      <c r="E22" s="889"/>
      <c r="G22" s="890">
        <v>44971</v>
      </c>
      <c r="H22" s="891"/>
      <c r="I22" s="892"/>
      <c r="J22" s="889"/>
      <c r="L22" s="890">
        <v>45002</v>
      </c>
      <c r="M22" s="891"/>
      <c r="N22" s="892"/>
      <c r="O22" s="889"/>
      <c r="Q22" s="890">
        <v>45030</v>
      </c>
      <c r="R22" s="891"/>
      <c r="S22" s="892"/>
      <c r="T22" s="889"/>
      <c r="V22" s="890">
        <v>45061</v>
      </c>
      <c r="W22" s="891"/>
      <c r="X22" s="892"/>
      <c r="Y22" s="889"/>
      <c r="AA22" s="890">
        <v>45091</v>
      </c>
      <c r="AB22" s="891"/>
      <c r="AC22" s="892"/>
      <c r="AD22" s="889"/>
      <c r="AF22" s="890">
        <v>45122</v>
      </c>
      <c r="AG22" s="891"/>
      <c r="AH22" s="892"/>
      <c r="AI22" s="889"/>
      <c r="AK22" s="890">
        <v>45152</v>
      </c>
      <c r="AL22" s="891"/>
      <c r="AM22" s="892">
        <f>900+300</f>
        <v>1200</v>
      </c>
      <c r="AN22" s="889"/>
      <c r="AP22" s="890">
        <v>45183</v>
      </c>
      <c r="AQ22" s="891"/>
      <c r="AR22" s="892">
        <v>1200</v>
      </c>
      <c r="AS22" s="889"/>
      <c r="AU22" s="890">
        <v>45214</v>
      </c>
      <c r="AV22" s="891"/>
      <c r="AW22" s="892">
        <v>1200</v>
      </c>
      <c r="AX22" s="889"/>
      <c r="AZ22" s="890">
        <v>45244</v>
      </c>
      <c r="BA22" s="891"/>
      <c r="BB22" s="892">
        <v>1200</v>
      </c>
      <c r="BC22" s="889"/>
      <c r="BE22" s="890">
        <v>45275</v>
      </c>
      <c r="BF22" s="891"/>
      <c r="BG22" s="892"/>
      <c r="BH22" s="889"/>
      <c r="BJ22" s="890">
        <v>45305</v>
      </c>
      <c r="BK22" s="891"/>
      <c r="BL22" s="892"/>
      <c r="BM22" s="889"/>
      <c r="BO22" s="890">
        <v>45336</v>
      </c>
      <c r="BP22" s="891"/>
      <c r="BQ22" s="892"/>
      <c r="BR22" s="889"/>
      <c r="BT22" s="890">
        <v>45367</v>
      </c>
      <c r="BU22" s="891"/>
      <c r="BV22" s="892"/>
      <c r="BW22" s="889"/>
      <c r="BY22" s="890">
        <v>45396</v>
      </c>
      <c r="BZ22" s="891"/>
      <c r="CA22" s="892"/>
      <c r="CB22" s="889"/>
      <c r="CD22" s="890">
        <v>45427</v>
      </c>
      <c r="CE22" s="891"/>
      <c r="CF22" s="892"/>
      <c r="CG22" s="889"/>
      <c r="CI22" s="890">
        <v>45457</v>
      </c>
      <c r="CJ22" s="891"/>
      <c r="CK22" s="892"/>
      <c r="CL22" s="889"/>
      <c r="CN22" s="890">
        <v>45488</v>
      </c>
      <c r="CO22" s="891"/>
      <c r="CP22" s="892"/>
      <c r="CQ22" s="889"/>
      <c r="CS22" s="890">
        <v>45518</v>
      </c>
      <c r="CT22" s="891"/>
      <c r="CU22" s="892"/>
      <c r="CV22" s="889"/>
      <c r="CX22" s="890">
        <v>45549</v>
      </c>
      <c r="CY22" s="891"/>
      <c r="CZ22" s="892"/>
      <c r="DA22" s="889"/>
      <c r="DC22" s="890">
        <v>45580</v>
      </c>
      <c r="DD22" s="891"/>
      <c r="DE22" s="892"/>
      <c r="DF22" s="889"/>
      <c r="DH22" s="890">
        <v>45610</v>
      </c>
      <c r="DI22" s="891"/>
      <c r="DJ22" s="892"/>
      <c r="DK22" s="889"/>
      <c r="DM22" s="890">
        <v>45641</v>
      </c>
      <c r="DN22" s="891"/>
      <c r="DO22" s="892"/>
      <c r="DP22" s="889"/>
    </row>
    <row r="23" spans="2:120">
      <c r="B23" s="890">
        <v>44941</v>
      </c>
      <c r="C23" s="891"/>
      <c r="D23" s="892">
        <v>1200</v>
      </c>
      <c r="E23" s="889"/>
      <c r="G23" s="890">
        <v>44972</v>
      </c>
      <c r="H23" s="891"/>
      <c r="I23" s="892"/>
      <c r="J23" s="889"/>
      <c r="L23" s="890">
        <v>45003</v>
      </c>
      <c r="M23" s="891"/>
      <c r="N23" s="892"/>
      <c r="O23" s="889"/>
      <c r="Q23" s="890">
        <v>45031</v>
      </c>
      <c r="R23" s="891"/>
      <c r="S23" s="892"/>
      <c r="T23" s="889"/>
      <c r="V23" s="890">
        <v>45062</v>
      </c>
      <c r="W23" s="891"/>
      <c r="X23" s="892"/>
      <c r="Y23" s="889"/>
      <c r="AA23" s="890">
        <v>45092</v>
      </c>
      <c r="AB23" s="891"/>
      <c r="AC23" s="892"/>
      <c r="AD23" s="889"/>
      <c r="AF23" s="890">
        <v>45123</v>
      </c>
      <c r="AG23" s="891"/>
      <c r="AH23" s="892">
        <f>900+300</f>
        <v>1200</v>
      </c>
      <c r="AI23" s="889"/>
      <c r="AK23" s="890">
        <v>45153</v>
      </c>
      <c r="AL23" s="891"/>
      <c r="AM23" s="892"/>
      <c r="AN23" s="889"/>
      <c r="AP23" s="890">
        <v>45184</v>
      </c>
      <c r="AQ23" s="891"/>
      <c r="AR23" s="892"/>
      <c r="AS23" s="889"/>
      <c r="AU23" s="890">
        <v>45215</v>
      </c>
      <c r="AV23" s="891"/>
      <c r="AW23" s="892">
        <v>1199</v>
      </c>
      <c r="AX23" s="889"/>
      <c r="AZ23" s="890">
        <v>45245</v>
      </c>
      <c r="BA23" s="891"/>
      <c r="BB23" s="892">
        <v>1200</v>
      </c>
      <c r="BC23" s="889"/>
      <c r="BE23" s="890">
        <v>45276</v>
      </c>
      <c r="BF23" s="891"/>
      <c r="BG23" s="892">
        <v>300</v>
      </c>
      <c r="BH23" s="889"/>
      <c r="BJ23" s="890">
        <v>45306</v>
      </c>
      <c r="BK23" s="891"/>
      <c r="BL23" s="892"/>
      <c r="BM23" s="889"/>
      <c r="BO23" s="890">
        <v>45337</v>
      </c>
      <c r="BP23" s="891"/>
      <c r="BQ23" s="892"/>
      <c r="BR23" s="889"/>
      <c r="BT23" s="890">
        <v>45368</v>
      </c>
      <c r="BU23" s="891"/>
      <c r="BV23" s="892"/>
      <c r="BW23" s="889"/>
      <c r="BY23" s="890">
        <v>45397</v>
      </c>
      <c r="BZ23" s="891"/>
      <c r="CA23" s="892"/>
      <c r="CB23" s="889"/>
      <c r="CD23" s="890">
        <v>45428</v>
      </c>
      <c r="CE23" s="891"/>
      <c r="CF23" s="892"/>
      <c r="CG23" s="889"/>
      <c r="CI23" s="890">
        <v>45458</v>
      </c>
      <c r="CJ23" s="891"/>
      <c r="CK23" s="892"/>
      <c r="CL23" s="889"/>
      <c r="CN23" s="890">
        <v>45489</v>
      </c>
      <c r="CO23" s="891"/>
      <c r="CP23" s="892"/>
      <c r="CQ23" s="889"/>
      <c r="CS23" s="890">
        <v>45519</v>
      </c>
      <c r="CT23" s="891"/>
      <c r="CU23" s="892"/>
      <c r="CV23" s="889"/>
      <c r="CX23" s="890">
        <v>45550</v>
      </c>
      <c r="CY23" s="891"/>
      <c r="CZ23" s="892"/>
      <c r="DA23" s="889"/>
      <c r="DC23" s="890">
        <v>45581</v>
      </c>
      <c r="DD23" s="891"/>
      <c r="DE23" s="892"/>
      <c r="DF23" s="889"/>
      <c r="DH23" s="890">
        <v>45611</v>
      </c>
      <c r="DI23" s="891"/>
      <c r="DJ23" s="892"/>
      <c r="DK23" s="889"/>
      <c r="DM23" s="890">
        <v>45642</v>
      </c>
      <c r="DN23" s="891"/>
      <c r="DO23" s="892"/>
      <c r="DP23" s="889"/>
    </row>
    <row r="24" spans="2:120">
      <c r="B24" s="890">
        <v>44942</v>
      </c>
      <c r="C24" s="891"/>
      <c r="D24" s="892">
        <v>1200</v>
      </c>
      <c r="E24" s="889"/>
      <c r="G24" s="890">
        <v>44973</v>
      </c>
      <c r="H24" s="891"/>
      <c r="I24" s="892"/>
      <c r="J24" s="889"/>
      <c r="L24" s="890">
        <v>45004</v>
      </c>
      <c r="M24" s="891"/>
      <c r="N24" s="892"/>
      <c r="O24" s="889"/>
      <c r="Q24" s="890">
        <v>45032</v>
      </c>
      <c r="R24" s="891"/>
      <c r="S24" s="892"/>
      <c r="T24" s="889"/>
      <c r="V24" s="890">
        <v>45063</v>
      </c>
      <c r="W24" s="891"/>
      <c r="X24" s="892"/>
      <c r="Y24" s="889"/>
      <c r="AA24" s="890">
        <v>45093</v>
      </c>
      <c r="AB24" s="891"/>
      <c r="AC24" s="892"/>
      <c r="AD24" s="889"/>
      <c r="AF24" s="890">
        <v>45124</v>
      </c>
      <c r="AG24" s="891"/>
      <c r="AH24" s="892">
        <f>900+300</f>
        <v>1200</v>
      </c>
      <c r="AI24" s="889"/>
      <c r="AK24" s="890">
        <v>45154</v>
      </c>
      <c r="AL24" s="891"/>
      <c r="AM24" s="892">
        <f>900+300</f>
        <v>1200</v>
      </c>
      <c r="AN24" s="889"/>
      <c r="AP24" s="890">
        <v>45185</v>
      </c>
      <c r="AQ24" s="891"/>
      <c r="AR24" s="892"/>
      <c r="AS24" s="889"/>
      <c r="AU24" s="890">
        <v>45216</v>
      </c>
      <c r="AV24" s="891"/>
      <c r="AW24" s="892">
        <v>1200</v>
      </c>
      <c r="AX24" s="889"/>
      <c r="AZ24" s="890">
        <v>45246</v>
      </c>
      <c r="BA24" s="891"/>
      <c r="BB24" s="892">
        <v>1200</v>
      </c>
      <c r="BC24" s="889"/>
      <c r="BE24" s="890">
        <v>45277</v>
      </c>
      <c r="BF24" s="891"/>
      <c r="BG24" s="892">
        <v>1200</v>
      </c>
      <c r="BH24" s="889"/>
      <c r="BJ24" s="890">
        <v>45307</v>
      </c>
      <c r="BK24" s="891"/>
      <c r="BL24" s="892"/>
      <c r="BM24" s="889"/>
      <c r="BO24" s="890">
        <v>45338</v>
      </c>
      <c r="BP24" s="891"/>
      <c r="BQ24" s="892"/>
      <c r="BR24" s="889"/>
      <c r="BT24" s="890">
        <v>45369</v>
      </c>
      <c r="BU24" s="891"/>
      <c r="BV24" s="892"/>
      <c r="BW24" s="889"/>
      <c r="BY24" s="890">
        <v>45398</v>
      </c>
      <c r="BZ24" s="891"/>
      <c r="CA24" s="892"/>
      <c r="CB24" s="889"/>
      <c r="CD24" s="890">
        <v>45429</v>
      </c>
      <c r="CE24" s="891"/>
      <c r="CF24" s="892"/>
      <c r="CG24" s="889"/>
      <c r="CI24" s="890">
        <v>45459</v>
      </c>
      <c r="CJ24" s="891"/>
      <c r="CK24" s="892"/>
      <c r="CL24" s="889"/>
      <c r="CN24" s="890">
        <v>45490</v>
      </c>
      <c r="CO24" s="891"/>
      <c r="CP24" s="892"/>
      <c r="CQ24" s="889"/>
      <c r="CS24" s="890">
        <v>45520</v>
      </c>
      <c r="CT24" s="891"/>
      <c r="CU24" s="892"/>
      <c r="CV24" s="889"/>
      <c r="CX24" s="890">
        <v>45551</v>
      </c>
      <c r="CY24" s="891"/>
      <c r="CZ24" s="892"/>
      <c r="DA24" s="889"/>
      <c r="DC24" s="890">
        <v>45582</v>
      </c>
      <c r="DD24" s="891"/>
      <c r="DE24" s="892"/>
      <c r="DF24" s="889"/>
      <c r="DH24" s="890">
        <v>45612</v>
      </c>
      <c r="DI24" s="891"/>
      <c r="DJ24" s="892"/>
      <c r="DK24" s="889"/>
      <c r="DM24" s="890">
        <v>45643</v>
      </c>
      <c r="DN24" s="891"/>
      <c r="DO24" s="892"/>
      <c r="DP24" s="889"/>
    </row>
    <row r="25" spans="2:120">
      <c r="B25" s="890">
        <v>44943</v>
      </c>
      <c r="C25" s="891"/>
      <c r="D25" s="892">
        <v>1200</v>
      </c>
      <c r="E25" s="889"/>
      <c r="G25" s="890">
        <v>44974</v>
      </c>
      <c r="H25" s="891"/>
      <c r="I25" s="892"/>
      <c r="J25" s="889"/>
      <c r="L25" s="890">
        <v>45005</v>
      </c>
      <c r="M25" s="891"/>
      <c r="N25" s="892"/>
      <c r="O25" s="889"/>
      <c r="Q25" s="890">
        <v>45033</v>
      </c>
      <c r="R25" s="891"/>
      <c r="S25" s="892"/>
      <c r="T25" s="889"/>
      <c r="V25" s="890">
        <v>45064</v>
      </c>
      <c r="W25" s="891"/>
      <c r="X25" s="892"/>
      <c r="Y25" s="889"/>
      <c r="AA25" s="890">
        <v>45094</v>
      </c>
      <c r="AB25" s="891"/>
      <c r="AC25" s="892"/>
      <c r="AD25" s="889"/>
      <c r="AF25" s="890">
        <v>45125</v>
      </c>
      <c r="AG25" s="891"/>
      <c r="AH25" s="892">
        <f>900+300</f>
        <v>1200</v>
      </c>
      <c r="AI25" s="889"/>
      <c r="AK25" s="890">
        <v>45155</v>
      </c>
      <c r="AL25" s="891"/>
      <c r="AM25" s="892">
        <f>900+300</f>
        <v>1200</v>
      </c>
      <c r="AN25" s="889"/>
      <c r="AP25" s="890">
        <v>45186</v>
      </c>
      <c r="AQ25" s="891"/>
      <c r="AR25" s="892">
        <v>1198</v>
      </c>
      <c r="AS25" s="889"/>
      <c r="AU25" s="890">
        <v>45217</v>
      </c>
      <c r="AV25" s="891"/>
      <c r="AW25" s="892">
        <v>1200</v>
      </c>
      <c r="AX25" s="889"/>
      <c r="AZ25" s="890">
        <v>45247</v>
      </c>
      <c r="BA25" s="891"/>
      <c r="BB25" s="892"/>
      <c r="BC25" s="889"/>
      <c r="BE25" s="890">
        <v>45278</v>
      </c>
      <c r="BF25" s="891"/>
      <c r="BG25" s="892">
        <v>1200</v>
      </c>
      <c r="BH25" s="889"/>
      <c r="BJ25" s="890">
        <v>45308</v>
      </c>
      <c r="BK25" s="891"/>
      <c r="BL25" s="892"/>
      <c r="BM25" s="889"/>
      <c r="BO25" s="890">
        <v>45339</v>
      </c>
      <c r="BP25" s="891"/>
      <c r="BQ25" s="892"/>
      <c r="BR25" s="889"/>
      <c r="BT25" s="890">
        <v>45370</v>
      </c>
      <c r="BU25" s="891"/>
      <c r="BV25" s="892"/>
      <c r="BW25" s="889"/>
      <c r="BY25" s="890">
        <v>45399</v>
      </c>
      <c r="BZ25" s="891"/>
      <c r="CA25" s="892"/>
      <c r="CB25" s="889"/>
      <c r="CD25" s="890">
        <v>45430</v>
      </c>
      <c r="CE25" s="891"/>
      <c r="CF25" s="892"/>
      <c r="CG25" s="889"/>
      <c r="CI25" s="890">
        <v>45460</v>
      </c>
      <c r="CJ25" s="891"/>
      <c r="CK25" s="892"/>
      <c r="CL25" s="889"/>
      <c r="CN25" s="890">
        <v>45491</v>
      </c>
      <c r="CO25" s="891"/>
      <c r="CP25" s="892"/>
      <c r="CQ25" s="889"/>
      <c r="CS25" s="890">
        <v>45521</v>
      </c>
      <c r="CT25" s="891"/>
      <c r="CU25" s="892"/>
      <c r="CV25" s="889"/>
      <c r="CX25" s="890">
        <v>45552</v>
      </c>
      <c r="CY25" s="891"/>
      <c r="CZ25" s="892"/>
      <c r="DA25" s="889"/>
      <c r="DC25" s="890">
        <v>45583</v>
      </c>
      <c r="DD25" s="891"/>
      <c r="DE25" s="892"/>
      <c r="DF25" s="889"/>
      <c r="DH25" s="890">
        <v>45613</v>
      </c>
      <c r="DI25" s="891"/>
      <c r="DJ25" s="892"/>
      <c r="DK25" s="889"/>
      <c r="DM25" s="890">
        <v>45644</v>
      </c>
      <c r="DN25" s="891"/>
      <c r="DO25" s="892"/>
      <c r="DP25" s="889"/>
    </row>
    <row r="26" spans="2:120">
      <c r="B26" s="890">
        <v>44944</v>
      </c>
      <c r="C26" s="891"/>
      <c r="D26" s="1818">
        <v>1200</v>
      </c>
      <c r="E26" s="889"/>
      <c r="G26" s="890">
        <v>44975</v>
      </c>
      <c r="H26" s="891"/>
      <c r="I26" s="892"/>
      <c r="J26" s="889"/>
      <c r="L26" s="890">
        <v>45006</v>
      </c>
      <c r="M26" s="891"/>
      <c r="N26" s="892"/>
      <c r="O26" s="889"/>
      <c r="Q26" s="890">
        <v>45034</v>
      </c>
      <c r="R26" s="891"/>
      <c r="S26" s="892"/>
      <c r="T26" s="889"/>
      <c r="V26" s="890">
        <v>45065</v>
      </c>
      <c r="W26" s="891"/>
      <c r="X26" s="892"/>
      <c r="Y26" s="889"/>
      <c r="AA26" s="890">
        <v>45095</v>
      </c>
      <c r="AB26" s="891"/>
      <c r="AC26" s="892"/>
      <c r="AD26" s="889"/>
      <c r="AF26" s="890">
        <v>45126</v>
      </c>
      <c r="AG26" s="891"/>
      <c r="AH26" s="892">
        <f>900+300</f>
        <v>1200</v>
      </c>
      <c r="AI26" s="889"/>
      <c r="AK26" s="890">
        <v>45156</v>
      </c>
      <c r="AL26" s="891"/>
      <c r="AM26" s="892"/>
      <c r="AN26" s="889"/>
      <c r="AP26" s="890">
        <v>45187</v>
      </c>
      <c r="AQ26" s="891"/>
      <c r="AR26" s="892">
        <v>1195</v>
      </c>
      <c r="AS26" s="889"/>
      <c r="AU26" s="890">
        <v>45218</v>
      </c>
      <c r="AV26" s="891"/>
      <c r="AW26" s="892">
        <v>1200</v>
      </c>
      <c r="AX26" s="889"/>
      <c r="AZ26" s="890">
        <v>45248</v>
      </c>
      <c r="BA26" s="891"/>
      <c r="BB26" s="892"/>
      <c r="BC26" s="889"/>
      <c r="BE26" s="890">
        <v>45279</v>
      </c>
      <c r="BF26" s="891"/>
      <c r="BG26" s="892">
        <v>1200</v>
      </c>
      <c r="BH26" s="889"/>
      <c r="BJ26" s="890">
        <v>45309</v>
      </c>
      <c r="BK26" s="891"/>
      <c r="BL26" s="892"/>
      <c r="BM26" s="889"/>
      <c r="BO26" s="890">
        <v>45340</v>
      </c>
      <c r="BP26" s="891"/>
      <c r="BQ26" s="892"/>
      <c r="BR26" s="889"/>
      <c r="BT26" s="890">
        <v>45371</v>
      </c>
      <c r="BU26" s="891"/>
      <c r="BV26" s="892"/>
      <c r="BW26" s="889"/>
      <c r="BY26" s="890">
        <v>45400</v>
      </c>
      <c r="BZ26" s="891"/>
      <c r="CA26" s="892"/>
      <c r="CB26" s="889"/>
      <c r="CD26" s="890">
        <v>45431</v>
      </c>
      <c r="CE26" s="891"/>
      <c r="CF26" s="892"/>
      <c r="CG26" s="889"/>
      <c r="CI26" s="890">
        <v>45461</v>
      </c>
      <c r="CJ26" s="891"/>
      <c r="CK26" s="892"/>
      <c r="CL26" s="889"/>
      <c r="CN26" s="890">
        <v>45492</v>
      </c>
      <c r="CO26" s="891"/>
      <c r="CP26" s="892"/>
      <c r="CQ26" s="889"/>
      <c r="CS26" s="890">
        <v>45522</v>
      </c>
      <c r="CT26" s="891"/>
      <c r="CU26" s="892"/>
      <c r="CV26" s="889"/>
      <c r="CX26" s="890">
        <v>45553</v>
      </c>
      <c r="CY26" s="891"/>
      <c r="CZ26" s="892"/>
      <c r="DA26" s="889"/>
      <c r="DC26" s="890">
        <v>45584</v>
      </c>
      <c r="DD26" s="891"/>
      <c r="DE26" s="892"/>
      <c r="DF26" s="889"/>
      <c r="DH26" s="890">
        <v>45614</v>
      </c>
      <c r="DI26" s="891"/>
      <c r="DJ26" s="892"/>
      <c r="DK26" s="889"/>
      <c r="DM26" s="890">
        <v>45645</v>
      </c>
      <c r="DN26" s="891"/>
      <c r="DO26" s="892"/>
      <c r="DP26" s="889"/>
    </row>
    <row r="27" spans="2:120">
      <c r="B27" s="890">
        <v>44945</v>
      </c>
      <c r="C27" s="1816"/>
      <c r="D27" s="1815"/>
      <c r="E27" s="1817"/>
      <c r="G27" s="890">
        <v>44976</v>
      </c>
      <c r="H27" s="891"/>
      <c r="I27" s="892"/>
      <c r="J27" s="889"/>
      <c r="L27" s="890">
        <v>45007</v>
      </c>
      <c r="M27" s="891"/>
      <c r="N27" s="892"/>
      <c r="O27" s="889"/>
      <c r="Q27" s="890">
        <v>45035</v>
      </c>
      <c r="R27" s="891"/>
      <c r="S27" s="892"/>
      <c r="T27" s="889"/>
      <c r="V27" s="890">
        <v>45066</v>
      </c>
      <c r="W27" s="891"/>
      <c r="X27" s="892"/>
      <c r="Y27" s="889"/>
      <c r="AA27" s="890">
        <v>45096</v>
      </c>
      <c r="AB27" s="891"/>
      <c r="AC27" s="892"/>
      <c r="AD27" s="889"/>
      <c r="AF27" s="890">
        <v>45127</v>
      </c>
      <c r="AG27" s="891"/>
      <c r="AH27" s="892">
        <f>902+299</f>
        <v>1201</v>
      </c>
      <c r="AI27" s="889"/>
      <c r="AK27" s="890">
        <v>45157</v>
      </c>
      <c r="AL27" s="891"/>
      <c r="AM27" s="892"/>
      <c r="AN27" s="889"/>
      <c r="AP27" s="890">
        <v>45188</v>
      </c>
      <c r="AQ27" s="891"/>
      <c r="AR27" s="892">
        <v>1200</v>
      </c>
      <c r="AS27" s="889"/>
      <c r="AU27" s="890">
        <v>45219</v>
      </c>
      <c r="AV27" s="891"/>
      <c r="AW27" s="892"/>
      <c r="AX27" s="889"/>
      <c r="AZ27" s="890">
        <v>45249</v>
      </c>
      <c r="BA27" s="891"/>
      <c r="BB27" s="892">
        <v>1200</v>
      </c>
      <c r="BC27" s="889"/>
      <c r="BE27" s="890">
        <v>45280</v>
      </c>
      <c r="BF27" s="891"/>
      <c r="BG27" s="892">
        <v>1200</v>
      </c>
      <c r="BH27" s="889"/>
      <c r="BJ27" s="890">
        <v>45310</v>
      </c>
      <c r="BK27" s="891"/>
      <c r="BL27" s="892"/>
      <c r="BM27" s="889"/>
      <c r="BO27" s="890">
        <v>45341</v>
      </c>
      <c r="BP27" s="891"/>
      <c r="BQ27" s="892"/>
      <c r="BR27" s="889"/>
      <c r="BT27" s="890">
        <v>45372</v>
      </c>
      <c r="BU27" s="891"/>
      <c r="BV27" s="892"/>
      <c r="BW27" s="889"/>
      <c r="BY27" s="890">
        <v>45401</v>
      </c>
      <c r="BZ27" s="891"/>
      <c r="CA27" s="892"/>
      <c r="CB27" s="889"/>
      <c r="CD27" s="890">
        <v>45432</v>
      </c>
      <c r="CE27" s="891"/>
      <c r="CF27" s="892"/>
      <c r="CG27" s="889"/>
      <c r="CI27" s="890">
        <v>45462</v>
      </c>
      <c r="CJ27" s="891"/>
      <c r="CK27" s="892"/>
      <c r="CL27" s="889"/>
      <c r="CN27" s="890">
        <v>45493</v>
      </c>
      <c r="CO27" s="891"/>
      <c r="CP27" s="892"/>
      <c r="CQ27" s="889"/>
      <c r="CS27" s="890">
        <v>45523</v>
      </c>
      <c r="CT27" s="891"/>
      <c r="CU27" s="892"/>
      <c r="CV27" s="889"/>
      <c r="CX27" s="890">
        <v>45554</v>
      </c>
      <c r="CY27" s="891"/>
      <c r="CZ27" s="892"/>
      <c r="DA27" s="889"/>
      <c r="DC27" s="890">
        <v>45585</v>
      </c>
      <c r="DD27" s="891"/>
      <c r="DE27" s="892"/>
      <c r="DF27" s="889"/>
      <c r="DH27" s="890">
        <v>45615</v>
      </c>
      <c r="DI27" s="891"/>
      <c r="DJ27" s="892"/>
      <c r="DK27" s="889"/>
      <c r="DM27" s="890">
        <v>45646</v>
      </c>
      <c r="DN27" s="891"/>
      <c r="DO27" s="892"/>
      <c r="DP27" s="889"/>
    </row>
    <row r="28" spans="2:120">
      <c r="B28" s="890">
        <v>44946</v>
      </c>
      <c r="C28" s="891"/>
      <c r="E28" s="889"/>
      <c r="G28" s="890">
        <v>44977</v>
      </c>
      <c r="H28" s="891"/>
      <c r="I28" s="892"/>
      <c r="J28" s="889"/>
      <c r="L28" s="890">
        <v>45008</v>
      </c>
      <c r="M28" s="891"/>
      <c r="N28" s="892"/>
      <c r="O28" s="889"/>
      <c r="Q28" s="890">
        <v>45036</v>
      </c>
      <c r="R28" s="891"/>
      <c r="S28" s="892"/>
      <c r="T28" s="889"/>
      <c r="V28" s="890">
        <v>45067</v>
      </c>
      <c r="W28" s="891"/>
      <c r="X28" s="892"/>
      <c r="Y28" s="889"/>
      <c r="AA28" s="890">
        <v>45097</v>
      </c>
      <c r="AB28" s="891"/>
      <c r="AC28" s="892"/>
      <c r="AD28" s="889"/>
      <c r="AF28" s="890">
        <v>45128</v>
      </c>
      <c r="AG28" s="891"/>
      <c r="AH28" s="892"/>
      <c r="AI28" s="889"/>
      <c r="AK28" s="890">
        <v>45158</v>
      </c>
      <c r="AL28" s="891"/>
      <c r="AM28" s="892">
        <f>900+300</f>
        <v>1200</v>
      </c>
      <c r="AN28" s="889"/>
      <c r="AP28" s="890">
        <v>45189</v>
      </c>
      <c r="AQ28" s="891"/>
      <c r="AR28" s="892">
        <v>1201</v>
      </c>
      <c r="AS28" s="889"/>
      <c r="AU28" s="890">
        <v>45220</v>
      </c>
      <c r="AV28" s="891"/>
      <c r="AW28" s="892"/>
      <c r="AX28" s="889"/>
      <c r="AZ28" s="890">
        <v>45250</v>
      </c>
      <c r="BA28" s="891"/>
      <c r="BB28" s="892">
        <v>1200</v>
      </c>
      <c r="BC28" s="889"/>
      <c r="BE28" s="890">
        <v>45281</v>
      </c>
      <c r="BF28" s="891"/>
      <c r="BG28" s="892">
        <v>1200</v>
      </c>
      <c r="BH28" s="889"/>
      <c r="BJ28" s="890">
        <v>45311</v>
      </c>
      <c r="BK28" s="891"/>
      <c r="BL28" s="892"/>
      <c r="BM28" s="889"/>
      <c r="BO28" s="890">
        <v>45342</v>
      </c>
      <c r="BP28" s="891"/>
      <c r="BQ28" s="892"/>
      <c r="BR28" s="889"/>
      <c r="BT28" s="890">
        <v>45373</v>
      </c>
      <c r="BU28" s="891"/>
      <c r="BV28" s="892"/>
      <c r="BW28" s="889"/>
      <c r="BY28" s="890">
        <v>45402</v>
      </c>
      <c r="BZ28" s="891"/>
      <c r="CA28" s="892"/>
      <c r="CB28" s="889"/>
      <c r="CD28" s="890">
        <v>45433</v>
      </c>
      <c r="CE28" s="891"/>
      <c r="CF28" s="892"/>
      <c r="CG28" s="889"/>
      <c r="CI28" s="890">
        <v>45463</v>
      </c>
      <c r="CJ28" s="891"/>
      <c r="CK28" s="892"/>
      <c r="CL28" s="889"/>
      <c r="CN28" s="890">
        <v>45494</v>
      </c>
      <c r="CO28" s="891"/>
      <c r="CP28" s="892"/>
      <c r="CQ28" s="889"/>
      <c r="CS28" s="890">
        <v>45524</v>
      </c>
      <c r="CT28" s="891"/>
      <c r="CU28" s="892"/>
      <c r="CV28" s="889"/>
      <c r="CX28" s="890">
        <v>45555</v>
      </c>
      <c r="CY28" s="891"/>
      <c r="CZ28" s="892"/>
      <c r="DA28" s="889"/>
      <c r="DC28" s="890">
        <v>45586</v>
      </c>
      <c r="DD28" s="891"/>
      <c r="DE28" s="892"/>
      <c r="DF28" s="889"/>
      <c r="DH28" s="890">
        <v>45616</v>
      </c>
      <c r="DI28" s="891"/>
      <c r="DJ28" s="892"/>
      <c r="DK28" s="889"/>
      <c r="DM28" s="890">
        <v>45647</v>
      </c>
      <c r="DN28" s="891"/>
      <c r="DO28" s="892"/>
      <c r="DP28" s="889"/>
    </row>
    <row r="29" spans="2:120">
      <c r="B29" s="890">
        <v>44947</v>
      </c>
      <c r="C29" s="891"/>
      <c r="D29" s="892">
        <v>1200</v>
      </c>
      <c r="E29" s="889"/>
      <c r="G29" s="890">
        <v>44978</v>
      </c>
      <c r="H29" s="891"/>
      <c r="I29" s="892"/>
      <c r="J29" s="889"/>
      <c r="L29" s="890">
        <v>45009</v>
      </c>
      <c r="M29" s="891"/>
      <c r="N29" s="892"/>
      <c r="O29" s="889"/>
      <c r="Q29" s="890">
        <v>45037</v>
      </c>
      <c r="R29" s="891"/>
      <c r="S29" s="892"/>
      <c r="T29" s="889"/>
      <c r="V29" s="890">
        <v>45068</v>
      </c>
      <c r="W29" s="891"/>
      <c r="X29" s="892"/>
      <c r="Y29" s="889"/>
      <c r="AA29" s="890">
        <v>45098</v>
      </c>
      <c r="AB29" s="891"/>
      <c r="AC29" s="892"/>
      <c r="AD29" s="889"/>
      <c r="AF29" s="890">
        <v>45129</v>
      </c>
      <c r="AG29" s="891"/>
      <c r="AH29" s="892">
        <v>900</v>
      </c>
      <c r="AI29" s="889"/>
      <c r="AK29" s="890">
        <v>45159</v>
      </c>
      <c r="AL29" s="891"/>
      <c r="AM29" s="892">
        <f>900+301</f>
        <v>1201</v>
      </c>
      <c r="AN29" s="889"/>
      <c r="AP29" s="890">
        <v>45190</v>
      </c>
      <c r="AQ29" s="891"/>
      <c r="AR29" s="892">
        <v>1201</v>
      </c>
      <c r="AS29" s="889"/>
      <c r="AU29" s="890">
        <v>45221</v>
      </c>
      <c r="AV29" s="891"/>
      <c r="AW29" s="892">
        <v>1201</v>
      </c>
      <c r="AX29" s="889"/>
      <c r="AZ29" s="890">
        <v>45251</v>
      </c>
      <c r="BA29" s="891"/>
      <c r="BB29" s="892">
        <v>1199</v>
      </c>
      <c r="BC29" s="889"/>
      <c r="BE29" s="890">
        <v>45282</v>
      </c>
      <c r="BF29" s="891"/>
      <c r="BG29" s="892"/>
      <c r="BH29" s="889"/>
      <c r="BJ29" s="890">
        <v>45312</v>
      </c>
      <c r="BK29" s="891"/>
      <c r="BL29" s="892"/>
      <c r="BM29" s="889"/>
      <c r="BO29" s="890">
        <v>45343</v>
      </c>
      <c r="BP29" s="891"/>
      <c r="BQ29" s="892"/>
      <c r="BR29" s="889"/>
      <c r="BT29" s="890">
        <v>45374</v>
      </c>
      <c r="BU29" s="891"/>
      <c r="BV29" s="892"/>
      <c r="BW29" s="889"/>
      <c r="BY29" s="890">
        <v>45403</v>
      </c>
      <c r="BZ29" s="891"/>
      <c r="CA29" s="892"/>
      <c r="CB29" s="889"/>
      <c r="CD29" s="890">
        <v>45434</v>
      </c>
      <c r="CE29" s="891"/>
      <c r="CF29" s="892"/>
      <c r="CG29" s="889"/>
      <c r="CI29" s="890">
        <v>45464</v>
      </c>
      <c r="CJ29" s="891"/>
      <c r="CK29" s="892"/>
      <c r="CL29" s="889"/>
      <c r="CN29" s="890">
        <v>45495</v>
      </c>
      <c r="CO29" s="891"/>
      <c r="CP29" s="892"/>
      <c r="CQ29" s="889"/>
      <c r="CS29" s="890">
        <v>45525</v>
      </c>
      <c r="CT29" s="891"/>
      <c r="CU29" s="892"/>
      <c r="CV29" s="889"/>
      <c r="CX29" s="890">
        <v>45556</v>
      </c>
      <c r="CY29" s="891"/>
      <c r="CZ29" s="892"/>
      <c r="DA29" s="889"/>
      <c r="DC29" s="890">
        <v>45587</v>
      </c>
      <c r="DD29" s="891"/>
      <c r="DE29" s="892"/>
      <c r="DF29" s="889"/>
      <c r="DH29" s="890">
        <v>45617</v>
      </c>
      <c r="DI29" s="891"/>
      <c r="DJ29" s="892"/>
      <c r="DK29" s="889"/>
      <c r="DM29" s="890">
        <v>45648</v>
      </c>
      <c r="DN29" s="891"/>
      <c r="DO29" s="892"/>
      <c r="DP29" s="889"/>
    </row>
    <row r="30" spans="2:120">
      <c r="B30" s="890">
        <v>44948</v>
      </c>
      <c r="C30" s="891"/>
      <c r="D30" s="892">
        <v>1200</v>
      </c>
      <c r="E30" s="889"/>
      <c r="G30" s="890">
        <v>44979</v>
      </c>
      <c r="H30" s="891"/>
      <c r="I30" s="892"/>
      <c r="J30" s="889"/>
      <c r="L30" s="890">
        <v>45010</v>
      </c>
      <c r="M30" s="891"/>
      <c r="N30" s="892"/>
      <c r="O30" s="889"/>
      <c r="Q30" s="890">
        <v>45038</v>
      </c>
      <c r="R30" s="891"/>
      <c r="S30" s="892"/>
      <c r="T30" s="889"/>
      <c r="V30" s="890">
        <v>45069</v>
      </c>
      <c r="W30" s="891"/>
      <c r="X30" s="892"/>
      <c r="Y30" s="889"/>
      <c r="AA30" s="890">
        <v>45099</v>
      </c>
      <c r="AB30" s="891"/>
      <c r="AC30" s="892"/>
      <c r="AD30" s="889"/>
      <c r="AF30" s="890">
        <v>45130</v>
      </c>
      <c r="AG30" s="891"/>
      <c r="AH30" s="892">
        <f>901+300</f>
        <v>1201</v>
      </c>
      <c r="AI30" s="889"/>
      <c r="AK30" s="890">
        <v>45160</v>
      </c>
      <c r="AL30" s="891"/>
      <c r="AM30" s="892">
        <f>900+300</f>
        <v>1200</v>
      </c>
      <c r="AN30" s="889"/>
      <c r="AP30" s="890">
        <v>45191</v>
      </c>
      <c r="AQ30" s="891"/>
      <c r="AR30" s="892"/>
      <c r="AS30" s="889"/>
      <c r="AU30" s="890">
        <v>45222</v>
      </c>
      <c r="AV30" s="891"/>
      <c r="AW30" s="892">
        <v>1200</v>
      </c>
      <c r="AX30" s="889"/>
      <c r="AZ30" s="890">
        <v>45252</v>
      </c>
      <c r="BA30" s="891"/>
      <c r="BB30" s="892">
        <v>1200</v>
      </c>
      <c r="BC30" s="889"/>
      <c r="BE30" s="890">
        <v>45283</v>
      </c>
      <c r="BF30" s="891"/>
      <c r="BG30" s="892"/>
      <c r="BH30" s="889"/>
      <c r="BJ30" s="890">
        <v>45313</v>
      </c>
      <c r="BK30" s="891"/>
      <c r="BL30" s="892"/>
      <c r="BM30" s="889"/>
      <c r="BO30" s="890">
        <v>45344</v>
      </c>
      <c r="BP30" s="891"/>
      <c r="BQ30" s="892"/>
      <c r="BR30" s="889"/>
      <c r="BT30" s="890">
        <v>45375</v>
      </c>
      <c r="BU30" s="891"/>
      <c r="BV30" s="892"/>
      <c r="BW30" s="889"/>
      <c r="BY30" s="890">
        <v>45404</v>
      </c>
      <c r="BZ30" s="891"/>
      <c r="CA30" s="892"/>
      <c r="CB30" s="889"/>
      <c r="CD30" s="890">
        <v>45435</v>
      </c>
      <c r="CE30" s="891"/>
      <c r="CF30" s="892"/>
      <c r="CG30" s="889"/>
      <c r="CI30" s="890">
        <v>45465</v>
      </c>
      <c r="CJ30" s="891"/>
      <c r="CK30" s="892"/>
      <c r="CL30" s="889"/>
      <c r="CN30" s="890">
        <v>45496</v>
      </c>
      <c r="CO30" s="891"/>
      <c r="CP30" s="892"/>
      <c r="CQ30" s="889"/>
      <c r="CS30" s="890">
        <v>45526</v>
      </c>
      <c r="CT30" s="891"/>
      <c r="CU30" s="892"/>
      <c r="CV30" s="889"/>
      <c r="CX30" s="890">
        <v>45557</v>
      </c>
      <c r="CY30" s="891"/>
      <c r="CZ30" s="892"/>
      <c r="DA30" s="889"/>
      <c r="DC30" s="890">
        <v>45588</v>
      </c>
      <c r="DD30" s="891"/>
      <c r="DE30" s="892"/>
      <c r="DF30" s="889"/>
      <c r="DH30" s="890">
        <v>45618</v>
      </c>
      <c r="DI30" s="891"/>
      <c r="DJ30" s="892"/>
      <c r="DK30" s="889"/>
      <c r="DM30" s="890">
        <v>45649</v>
      </c>
      <c r="DN30" s="891"/>
      <c r="DO30" s="892"/>
      <c r="DP30" s="889"/>
    </row>
    <row r="31" spans="2:120">
      <c r="B31" s="890">
        <v>44949</v>
      </c>
      <c r="C31" s="891"/>
      <c r="D31" s="892">
        <v>1200</v>
      </c>
      <c r="E31" s="889"/>
      <c r="G31" s="890">
        <v>44980</v>
      </c>
      <c r="H31" s="891"/>
      <c r="I31" s="892"/>
      <c r="J31" s="889"/>
      <c r="L31" s="890"/>
      <c r="M31" s="891"/>
      <c r="N31" s="892"/>
      <c r="O31" s="889"/>
      <c r="Q31" s="890">
        <v>45039</v>
      </c>
      <c r="R31" s="891"/>
      <c r="S31" s="892"/>
      <c r="T31" s="889"/>
      <c r="V31" s="890">
        <v>45070</v>
      </c>
      <c r="W31" s="891"/>
      <c r="X31" s="892"/>
      <c r="Y31" s="889"/>
      <c r="AA31" s="890">
        <v>45100</v>
      </c>
      <c r="AB31" s="891"/>
      <c r="AC31" s="892"/>
      <c r="AD31" s="889"/>
      <c r="AF31" s="890">
        <v>45131</v>
      </c>
      <c r="AG31" s="891"/>
      <c r="AH31" s="892">
        <f>900+300</f>
        <v>1200</v>
      </c>
      <c r="AI31" s="889"/>
      <c r="AK31" s="890">
        <v>45161</v>
      </c>
      <c r="AL31" s="891"/>
      <c r="AM31" s="892">
        <f>900+300</f>
        <v>1200</v>
      </c>
      <c r="AN31" s="889"/>
      <c r="AP31" s="890">
        <v>45192</v>
      </c>
      <c r="AQ31" s="891"/>
      <c r="AR31" s="892">
        <v>900</v>
      </c>
      <c r="AS31" s="889"/>
      <c r="AU31" s="890">
        <v>45223</v>
      </c>
      <c r="AV31" s="891"/>
      <c r="AW31" s="892">
        <v>1200</v>
      </c>
      <c r="AX31" s="889"/>
      <c r="AZ31" s="890">
        <v>45253</v>
      </c>
      <c r="BA31" s="891"/>
      <c r="BB31" s="892">
        <v>1200</v>
      </c>
      <c r="BC31" s="889"/>
      <c r="BE31" s="890">
        <v>45284</v>
      </c>
      <c r="BF31" s="891"/>
      <c r="BG31" s="892">
        <v>1200</v>
      </c>
      <c r="BH31" s="889"/>
      <c r="BJ31" s="890">
        <v>45314</v>
      </c>
      <c r="BK31" s="891"/>
      <c r="BL31" s="892"/>
      <c r="BM31" s="889"/>
      <c r="BO31" s="890">
        <v>45345</v>
      </c>
      <c r="BP31" s="891"/>
      <c r="BQ31" s="892"/>
      <c r="BR31" s="889"/>
      <c r="BT31" s="890">
        <v>45376</v>
      </c>
      <c r="BU31" s="891"/>
      <c r="BV31" s="892"/>
      <c r="BW31" s="889"/>
      <c r="BY31" s="890">
        <v>45405</v>
      </c>
      <c r="BZ31" s="891"/>
      <c r="CA31" s="892"/>
      <c r="CB31" s="889"/>
      <c r="CD31" s="890">
        <v>45436</v>
      </c>
      <c r="CE31" s="891"/>
      <c r="CF31" s="892"/>
      <c r="CG31" s="889"/>
      <c r="CI31" s="890">
        <v>45466</v>
      </c>
      <c r="CJ31" s="891"/>
      <c r="CK31" s="892"/>
      <c r="CL31" s="889"/>
      <c r="CN31" s="890">
        <v>45497</v>
      </c>
      <c r="CO31" s="891"/>
      <c r="CP31" s="892"/>
      <c r="CQ31" s="889"/>
      <c r="CS31" s="890">
        <v>45527</v>
      </c>
      <c r="CT31" s="891"/>
      <c r="CU31" s="892"/>
      <c r="CV31" s="889"/>
      <c r="CX31" s="890">
        <v>45558</v>
      </c>
      <c r="CY31" s="891"/>
      <c r="CZ31" s="892"/>
      <c r="DA31" s="889"/>
      <c r="DC31" s="890">
        <v>45589</v>
      </c>
      <c r="DD31" s="891"/>
      <c r="DE31" s="892"/>
      <c r="DF31" s="889"/>
      <c r="DH31" s="890">
        <v>45619</v>
      </c>
      <c r="DI31" s="891"/>
      <c r="DJ31" s="892"/>
      <c r="DK31" s="889"/>
      <c r="DM31" s="890">
        <v>45650</v>
      </c>
      <c r="DN31" s="891"/>
      <c r="DO31" s="892"/>
      <c r="DP31" s="889"/>
    </row>
    <row r="32" spans="2:120">
      <c r="B32" s="890">
        <v>44950</v>
      </c>
      <c r="C32" s="891"/>
      <c r="D32" s="892">
        <v>1200</v>
      </c>
      <c r="E32" s="889"/>
      <c r="G32" s="890">
        <v>44981</v>
      </c>
      <c r="H32" s="891"/>
      <c r="I32" s="892"/>
      <c r="J32" s="889"/>
      <c r="L32" s="890"/>
      <c r="M32" s="891"/>
      <c r="N32" s="892"/>
      <c r="O32" s="889"/>
      <c r="Q32" s="890">
        <v>45040</v>
      </c>
      <c r="R32" s="891"/>
      <c r="S32" s="892"/>
      <c r="T32" s="889"/>
      <c r="V32" s="890">
        <v>45071</v>
      </c>
      <c r="W32" s="891"/>
      <c r="X32" s="892"/>
      <c r="Y32" s="889"/>
      <c r="AA32" s="890">
        <v>45101</v>
      </c>
      <c r="AB32" s="891"/>
      <c r="AC32" s="892"/>
      <c r="AD32" s="889"/>
      <c r="AF32" s="890">
        <v>45132</v>
      </c>
      <c r="AG32" s="891"/>
      <c r="AH32" s="892">
        <v>1200</v>
      </c>
      <c r="AI32" s="889"/>
      <c r="AK32" s="890">
        <v>45162</v>
      </c>
      <c r="AL32" s="891"/>
      <c r="AM32" s="892">
        <f>900+300</f>
        <v>1200</v>
      </c>
      <c r="AN32" s="889"/>
      <c r="AP32" s="890">
        <v>45193</v>
      </c>
      <c r="AQ32" s="891"/>
      <c r="AR32" s="892">
        <v>1200</v>
      </c>
      <c r="AS32" s="889"/>
      <c r="AU32" s="890">
        <v>45224</v>
      </c>
      <c r="AV32" s="891"/>
      <c r="AW32" s="892">
        <v>1200</v>
      </c>
      <c r="AX32" s="889"/>
      <c r="AZ32" s="890">
        <v>45254</v>
      </c>
      <c r="BA32" s="891"/>
      <c r="BB32" s="892"/>
      <c r="BC32" s="889"/>
      <c r="BE32" s="890">
        <v>45285</v>
      </c>
      <c r="BF32" s="891"/>
      <c r="BG32" s="892">
        <v>1200</v>
      </c>
      <c r="BH32" s="889"/>
      <c r="BJ32" s="890">
        <v>45315</v>
      </c>
      <c r="BK32" s="891"/>
      <c r="BL32" s="892"/>
      <c r="BM32" s="889"/>
      <c r="BO32" s="890">
        <v>45346</v>
      </c>
      <c r="BP32" s="891"/>
      <c r="BQ32" s="892"/>
      <c r="BR32" s="889"/>
      <c r="BT32" s="890"/>
      <c r="BU32" s="891"/>
      <c r="BV32" s="892"/>
      <c r="BW32" s="889"/>
      <c r="BY32" s="890">
        <v>45406</v>
      </c>
      <c r="BZ32" s="891"/>
      <c r="CA32" s="892"/>
      <c r="CB32" s="889"/>
      <c r="CD32" s="890">
        <v>45437</v>
      </c>
      <c r="CE32" s="891"/>
      <c r="CF32" s="892"/>
      <c r="CG32" s="889"/>
      <c r="CI32" s="890">
        <v>45467</v>
      </c>
      <c r="CJ32" s="891"/>
      <c r="CK32" s="892"/>
      <c r="CL32" s="889"/>
      <c r="CN32" s="890">
        <v>45498</v>
      </c>
      <c r="CO32" s="891"/>
      <c r="CP32" s="892"/>
      <c r="CQ32" s="889"/>
      <c r="CS32" s="890">
        <v>45528</v>
      </c>
      <c r="CT32" s="891"/>
      <c r="CU32" s="892"/>
      <c r="CV32" s="889"/>
      <c r="CX32" s="890">
        <v>45559</v>
      </c>
      <c r="CY32" s="891"/>
      <c r="CZ32" s="892"/>
      <c r="DA32" s="889"/>
      <c r="DC32" s="890">
        <v>45590</v>
      </c>
      <c r="DD32" s="891"/>
      <c r="DE32" s="892"/>
      <c r="DF32" s="889"/>
      <c r="DH32" s="890">
        <v>45620</v>
      </c>
      <c r="DI32" s="891"/>
      <c r="DJ32" s="892"/>
      <c r="DK32" s="889"/>
      <c r="DM32" s="890">
        <v>45651</v>
      </c>
      <c r="DN32" s="891"/>
      <c r="DO32" s="892"/>
      <c r="DP32" s="889"/>
    </row>
    <row r="33" spans="2:120">
      <c r="B33" s="890">
        <v>44951</v>
      </c>
      <c r="C33" s="891"/>
      <c r="D33" s="892">
        <v>1200</v>
      </c>
      <c r="E33" s="889"/>
      <c r="G33" s="890">
        <v>44982</v>
      </c>
      <c r="H33" s="891"/>
      <c r="I33" s="892"/>
      <c r="J33" s="889"/>
      <c r="L33" s="890"/>
      <c r="M33" s="891"/>
      <c r="N33" s="892"/>
      <c r="O33" s="889"/>
      <c r="Q33" s="890">
        <v>45041</v>
      </c>
      <c r="R33" s="891"/>
      <c r="S33" s="892"/>
      <c r="T33" s="889"/>
      <c r="V33" s="890"/>
      <c r="W33" s="891"/>
      <c r="X33" s="892"/>
      <c r="Y33" s="889"/>
      <c r="AA33" s="890">
        <v>45102</v>
      </c>
      <c r="AB33" s="891"/>
      <c r="AC33" s="892"/>
      <c r="AD33" s="889"/>
      <c r="AF33" s="890"/>
      <c r="AG33" s="891"/>
      <c r="AH33" s="892"/>
      <c r="AI33" s="889"/>
      <c r="AK33" s="890">
        <v>45163</v>
      </c>
      <c r="AL33" s="891"/>
      <c r="AM33" s="892"/>
      <c r="AN33" s="889"/>
      <c r="AP33" s="890">
        <v>45194</v>
      </c>
      <c r="AQ33" s="891"/>
      <c r="AR33" s="892">
        <v>1200</v>
      </c>
      <c r="AS33" s="889"/>
      <c r="AU33" s="890"/>
      <c r="AV33" s="891"/>
      <c r="AW33" s="892"/>
      <c r="AX33" s="889"/>
      <c r="AZ33" s="890">
        <v>45255</v>
      </c>
      <c r="BA33" s="891"/>
      <c r="BB33" s="892"/>
      <c r="BC33" s="889"/>
      <c r="BE33" s="890"/>
      <c r="BF33" s="891"/>
      <c r="BG33" s="892"/>
      <c r="BH33" s="889"/>
      <c r="BJ33" s="890">
        <v>45316</v>
      </c>
      <c r="BK33" s="891"/>
      <c r="BL33" s="892"/>
      <c r="BM33" s="889"/>
      <c r="BO33" s="890">
        <v>45347</v>
      </c>
      <c r="BP33" s="891"/>
      <c r="BQ33" s="892"/>
      <c r="BR33" s="889"/>
      <c r="BT33" s="890"/>
      <c r="BU33" s="891"/>
      <c r="BV33" s="892"/>
      <c r="BW33" s="889"/>
      <c r="BY33" s="890">
        <v>45407</v>
      </c>
      <c r="BZ33" s="891"/>
      <c r="CA33" s="892"/>
      <c r="CB33" s="889"/>
      <c r="CD33" s="890"/>
      <c r="CE33" s="891"/>
      <c r="CF33" s="892"/>
      <c r="CG33" s="889"/>
      <c r="CI33" s="890">
        <v>45468</v>
      </c>
      <c r="CJ33" s="891"/>
      <c r="CK33" s="892"/>
      <c r="CL33" s="889"/>
      <c r="CN33" s="890"/>
      <c r="CO33" s="891"/>
      <c r="CP33" s="892"/>
      <c r="CQ33" s="889"/>
      <c r="CS33" s="890">
        <v>45529</v>
      </c>
      <c r="CT33" s="891"/>
      <c r="CU33" s="892"/>
      <c r="CV33" s="889"/>
      <c r="CX33" s="890">
        <v>45560</v>
      </c>
      <c r="CY33" s="891"/>
      <c r="CZ33" s="892"/>
      <c r="DA33" s="889"/>
      <c r="DC33" s="890"/>
      <c r="DD33" s="891"/>
      <c r="DE33" s="892"/>
      <c r="DF33" s="889"/>
      <c r="DH33" s="890">
        <v>45621</v>
      </c>
      <c r="DI33" s="891"/>
      <c r="DJ33" s="892"/>
      <c r="DK33" s="889"/>
      <c r="DM33" s="890"/>
      <c r="DN33" s="891"/>
      <c r="DO33" s="892"/>
      <c r="DP33" s="889"/>
    </row>
    <row r="35" spans="2:120">
      <c r="B35" s="2098" t="s">
        <v>884</v>
      </c>
      <c r="C35" s="2098"/>
      <c r="D35" s="893">
        <f>SUM(D9:D33)</f>
        <v>21000</v>
      </c>
      <c r="G35" s="2098" t="s">
        <v>884</v>
      </c>
      <c r="H35" s="2098"/>
      <c r="I35" s="893">
        <f>SUM(I9:I33)</f>
        <v>0</v>
      </c>
      <c r="L35" s="2098" t="s">
        <v>884</v>
      </c>
      <c r="M35" s="2098"/>
      <c r="N35" s="893">
        <f>SUM(N9:N33)</f>
        <v>0</v>
      </c>
      <c r="Q35" s="2098" t="s">
        <v>884</v>
      </c>
      <c r="R35" s="2098"/>
      <c r="S35" s="893">
        <f>SUM(S9:S33)</f>
        <v>0</v>
      </c>
      <c r="V35" s="2098" t="s">
        <v>884</v>
      </c>
      <c r="W35" s="2098"/>
      <c r="X35" s="893">
        <f>SUM(X9:X33)</f>
        <v>0</v>
      </c>
      <c r="AA35" s="2098" t="s">
        <v>884</v>
      </c>
      <c r="AB35" s="2098"/>
      <c r="AC35" s="893">
        <f>SUM(AC9:AC33)</f>
        <v>0</v>
      </c>
      <c r="AF35" s="2098" t="s">
        <v>884</v>
      </c>
      <c r="AG35" s="2098"/>
      <c r="AH35" s="893">
        <f>SUM(AH9:AH33)</f>
        <v>21200</v>
      </c>
      <c r="AK35" s="2098" t="s">
        <v>884</v>
      </c>
      <c r="AL35" s="2098"/>
      <c r="AM35" s="893">
        <f>SUM(AM3:AM33)</f>
        <v>25002</v>
      </c>
      <c r="AP35" s="2098" t="s">
        <v>884</v>
      </c>
      <c r="AQ35" s="2098"/>
      <c r="AR35" s="893">
        <f>SUM(AR3:AR33)</f>
        <v>27890</v>
      </c>
      <c r="AU35" s="2098" t="s">
        <v>884</v>
      </c>
      <c r="AV35" s="2098"/>
      <c r="AW35" s="893">
        <f>SUM(AW3:AW33)</f>
        <v>27001</v>
      </c>
      <c r="AZ35" s="2098" t="s">
        <v>884</v>
      </c>
      <c r="BA35" s="2098"/>
      <c r="BB35" s="893">
        <f>SUM(BB3:BB33)</f>
        <v>25196</v>
      </c>
      <c r="BE35" s="2098" t="s">
        <v>884</v>
      </c>
      <c r="BF35" s="2098"/>
      <c r="BG35" s="893">
        <f>SUM(BG3:BG33)</f>
        <v>25500</v>
      </c>
      <c r="BJ35" s="2098" t="s">
        <v>884</v>
      </c>
      <c r="BK35" s="2098"/>
      <c r="BL35" s="893">
        <f>SUM(BL3:BL33)</f>
        <v>0</v>
      </c>
      <c r="BO35" s="2098" t="s">
        <v>884</v>
      </c>
      <c r="BP35" s="2098"/>
      <c r="BQ35" s="893">
        <f>SUM(BQ3:BQ33)</f>
        <v>0</v>
      </c>
      <c r="BT35" s="2098" t="s">
        <v>884</v>
      </c>
      <c r="BU35" s="2098"/>
      <c r="BV35" s="893">
        <f>SUM(BV3:BV33)</f>
        <v>0</v>
      </c>
      <c r="BY35" s="2098" t="s">
        <v>884</v>
      </c>
      <c r="BZ35" s="2098"/>
      <c r="CA35" s="893">
        <f>SUM(CA3:CA33)</f>
        <v>0</v>
      </c>
      <c r="CD35" s="2098" t="s">
        <v>884</v>
      </c>
      <c r="CE35" s="2098"/>
      <c r="CF35" s="893">
        <f>SUM(CF3:CF33)</f>
        <v>0</v>
      </c>
      <c r="CI35" s="2098" t="s">
        <v>884</v>
      </c>
      <c r="CJ35" s="2098"/>
      <c r="CK35" s="893">
        <f>SUM(CK3:CK33)</f>
        <v>0</v>
      </c>
      <c r="CN35" s="2098" t="s">
        <v>884</v>
      </c>
      <c r="CO35" s="2098"/>
      <c r="CP35" s="893">
        <f>SUM(CP3:CP33)</f>
        <v>0</v>
      </c>
      <c r="CS35" s="2098" t="s">
        <v>884</v>
      </c>
      <c r="CT35" s="2098"/>
      <c r="CU35" s="893">
        <f>SUM(CU3:CU33)</f>
        <v>0</v>
      </c>
      <c r="CX35" s="2098" t="s">
        <v>884</v>
      </c>
      <c r="CY35" s="2098"/>
      <c r="CZ35" s="893">
        <f>SUM(CZ3:CZ33)</f>
        <v>0</v>
      </c>
      <c r="DC35" s="2098" t="s">
        <v>884</v>
      </c>
      <c r="DD35" s="2098"/>
      <c r="DE35" s="893">
        <f>SUM(DE3:DE33)</f>
        <v>0</v>
      </c>
      <c r="DH35" s="2098" t="s">
        <v>884</v>
      </c>
      <c r="DI35" s="2098"/>
      <c r="DJ35" s="893">
        <f>SUM(DJ3:DJ33)</f>
        <v>0</v>
      </c>
      <c r="DM35" s="2098" t="s">
        <v>884</v>
      </c>
      <c r="DN35" s="2098"/>
      <c r="DO35" s="893">
        <f>SUM(DO3:DO33)</f>
        <v>0</v>
      </c>
    </row>
    <row r="36" spans="2:120">
      <c r="B36" s="2098" t="s">
        <v>885</v>
      </c>
      <c r="C36" s="2098"/>
      <c r="D36" s="889">
        <v>43</v>
      </c>
      <c r="G36" s="2098" t="s">
        <v>885</v>
      </c>
      <c r="H36" s="2098"/>
      <c r="I36" s="889">
        <v>43</v>
      </c>
      <c r="L36" s="2098" t="s">
        <v>885</v>
      </c>
      <c r="M36" s="2098"/>
      <c r="N36" s="889">
        <v>43</v>
      </c>
      <c r="Q36" s="2098" t="s">
        <v>885</v>
      </c>
      <c r="R36" s="2098"/>
      <c r="S36" s="889">
        <v>43</v>
      </c>
      <c r="V36" s="2098" t="s">
        <v>885</v>
      </c>
      <c r="W36" s="2098"/>
      <c r="X36" s="889">
        <v>43</v>
      </c>
      <c r="AA36" s="2098" t="s">
        <v>885</v>
      </c>
      <c r="AB36" s="2098"/>
      <c r="AC36" s="889">
        <v>43</v>
      </c>
      <c r="AF36" s="2098" t="s">
        <v>885</v>
      </c>
      <c r="AG36" s="2098"/>
      <c r="AH36" s="889">
        <v>43</v>
      </c>
      <c r="AK36" s="2098" t="s">
        <v>885</v>
      </c>
      <c r="AL36" s="2098"/>
      <c r="AM36" s="889">
        <v>43</v>
      </c>
      <c r="AP36" s="2098" t="s">
        <v>885</v>
      </c>
      <c r="AQ36" s="2098"/>
      <c r="AR36" s="889">
        <v>43</v>
      </c>
      <c r="AU36" s="2098" t="s">
        <v>885</v>
      </c>
      <c r="AV36" s="2098"/>
      <c r="AW36" s="889">
        <v>43</v>
      </c>
      <c r="AZ36" s="2098" t="s">
        <v>885</v>
      </c>
      <c r="BA36" s="2098"/>
      <c r="BB36" s="889">
        <v>43</v>
      </c>
      <c r="BE36" s="2098" t="s">
        <v>885</v>
      </c>
      <c r="BF36" s="2098"/>
      <c r="BG36" s="889">
        <v>43</v>
      </c>
      <c r="BJ36" s="2098" t="s">
        <v>885</v>
      </c>
      <c r="BK36" s="2098"/>
      <c r="BL36" s="889">
        <v>43</v>
      </c>
      <c r="BO36" s="2098" t="s">
        <v>885</v>
      </c>
      <c r="BP36" s="2098"/>
      <c r="BQ36" s="889">
        <v>43</v>
      </c>
      <c r="BT36" s="2098" t="s">
        <v>885</v>
      </c>
      <c r="BU36" s="2098"/>
      <c r="BV36" s="889">
        <v>43</v>
      </c>
      <c r="BY36" s="2098" t="s">
        <v>885</v>
      </c>
      <c r="BZ36" s="2098"/>
      <c r="CA36" s="889">
        <v>43</v>
      </c>
      <c r="CD36" s="2098" t="s">
        <v>885</v>
      </c>
      <c r="CE36" s="2098"/>
      <c r="CF36" s="889">
        <v>43</v>
      </c>
      <c r="CI36" s="2098" t="s">
        <v>885</v>
      </c>
      <c r="CJ36" s="2098"/>
      <c r="CK36" s="889">
        <v>43</v>
      </c>
      <c r="CN36" s="2098" t="s">
        <v>885</v>
      </c>
      <c r="CO36" s="2098"/>
      <c r="CP36" s="889">
        <v>43</v>
      </c>
      <c r="CS36" s="2098" t="s">
        <v>885</v>
      </c>
      <c r="CT36" s="2098"/>
      <c r="CU36" s="889">
        <v>43</v>
      </c>
      <c r="CX36" s="2098" t="s">
        <v>885</v>
      </c>
      <c r="CY36" s="2098"/>
      <c r="CZ36" s="889">
        <v>43</v>
      </c>
      <c r="DC36" s="2098" t="s">
        <v>885</v>
      </c>
      <c r="DD36" s="2098"/>
      <c r="DE36" s="889">
        <v>43</v>
      </c>
      <c r="DH36" s="2098" t="s">
        <v>885</v>
      </c>
      <c r="DI36" s="2098"/>
      <c r="DJ36" s="889">
        <v>43</v>
      </c>
      <c r="DM36" s="2098" t="s">
        <v>885</v>
      </c>
      <c r="DN36" s="2098"/>
      <c r="DO36" s="889">
        <v>43</v>
      </c>
    </row>
    <row r="37" spans="2:120">
      <c r="B37" s="2099"/>
      <c r="C37" s="2100"/>
      <c r="D37" s="2101"/>
      <c r="G37" s="2099"/>
      <c r="H37" s="2100"/>
      <c r="I37" s="2101"/>
      <c r="L37" s="2099"/>
      <c r="M37" s="2100"/>
      <c r="N37" s="2101"/>
      <c r="Q37" s="2099"/>
      <c r="R37" s="2100"/>
      <c r="S37" s="2101"/>
      <c r="V37" s="2099"/>
      <c r="W37" s="2100"/>
      <c r="X37" s="2101"/>
      <c r="AA37" s="2099"/>
      <c r="AB37" s="2100"/>
      <c r="AC37" s="2101"/>
      <c r="AF37" s="2099"/>
      <c r="AG37" s="2100"/>
      <c r="AH37" s="2101"/>
      <c r="AK37" s="2097"/>
      <c r="AL37" s="2097"/>
      <c r="AM37" s="2097"/>
      <c r="AP37" s="2097"/>
      <c r="AQ37" s="2097"/>
      <c r="AR37" s="2097"/>
      <c r="AU37" s="2097"/>
      <c r="AV37" s="2097"/>
      <c r="AW37" s="2097"/>
      <c r="AZ37" s="2097"/>
      <c r="BA37" s="2097"/>
      <c r="BB37" s="2097"/>
      <c r="BE37" s="2097"/>
      <c r="BF37" s="2097"/>
      <c r="BG37" s="2097"/>
      <c r="BJ37" s="2097"/>
      <c r="BK37" s="2097"/>
      <c r="BL37" s="2097"/>
      <c r="BO37" s="2097"/>
      <c r="BP37" s="2097"/>
      <c r="BQ37" s="2097"/>
      <c r="BT37" s="2097"/>
      <c r="BU37" s="2097"/>
      <c r="BV37" s="2097"/>
      <c r="BY37" s="2097"/>
      <c r="BZ37" s="2097"/>
      <c r="CA37" s="2097"/>
      <c r="CD37" s="2097"/>
      <c r="CE37" s="2097"/>
      <c r="CF37" s="2097"/>
      <c r="CI37" s="2097"/>
      <c r="CJ37" s="2097"/>
      <c r="CK37" s="2097"/>
      <c r="CN37" s="2097"/>
      <c r="CO37" s="2097"/>
      <c r="CP37" s="2097"/>
      <c r="CS37" s="2097"/>
      <c r="CT37" s="2097"/>
      <c r="CU37" s="2097"/>
      <c r="CX37" s="2097"/>
      <c r="CY37" s="2097"/>
      <c r="CZ37" s="2097"/>
      <c r="DC37" s="2097"/>
      <c r="DD37" s="2097"/>
      <c r="DE37" s="2097"/>
      <c r="DH37" s="2097"/>
      <c r="DI37" s="2097"/>
      <c r="DJ37" s="2097"/>
      <c r="DM37" s="2097"/>
      <c r="DN37" s="2097"/>
      <c r="DO37" s="2097"/>
    </row>
    <row r="38" spans="2:120">
      <c r="B38" s="2097" t="s">
        <v>886</v>
      </c>
      <c r="C38" s="2097"/>
      <c r="D38" s="894">
        <f>D35/D36</f>
        <v>488.37209302325579</v>
      </c>
      <c r="G38" s="2097" t="s">
        <v>886</v>
      </c>
      <c r="H38" s="2097"/>
      <c r="I38" s="894">
        <f>I35/I36</f>
        <v>0</v>
      </c>
      <c r="L38" s="2097" t="s">
        <v>886</v>
      </c>
      <c r="M38" s="2097"/>
      <c r="N38" s="894">
        <f>N35/N36</f>
        <v>0</v>
      </c>
      <c r="Q38" s="2097" t="s">
        <v>886</v>
      </c>
      <c r="R38" s="2097"/>
      <c r="S38" s="894">
        <f>S35/S36</f>
        <v>0</v>
      </c>
      <c r="V38" s="2097" t="s">
        <v>886</v>
      </c>
      <c r="W38" s="2097"/>
      <c r="X38" s="894">
        <f>X35/X36</f>
        <v>0</v>
      </c>
      <c r="AA38" s="2097" t="s">
        <v>886</v>
      </c>
      <c r="AB38" s="2097"/>
      <c r="AC38" s="894">
        <f>AC35/AC36</f>
        <v>0</v>
      </c>
      <c r="AF38" s="2097" t="s">
        <v>886</v>
      </c>
      <c r="AG38" s="2097"/>
      <c r="AH38" s="894">
        <f>AH35/AH36</f>
        <v>493.02325581395348</v>
      </c>
      <c r="AK38" s="2097" t="s">
        <v>886</v>
      </c>
      <c r="AL38" s="2097"/>
      <c r="AM38" s="894">
        <f>AM35/AM36</f>
        <v>581.44186046511629</v>
      </c>
      <c r="AP38" s="2097" t="s">
        <v>886</v>
      </c>
      <c r="AQ38" s="2097"/>
      <c r="AR38" s="894">
        <f>AR35/AR36</f>
        <v>648.60465116279067</v>
      </c>
      <c r="AU38" s="2097" t="s">
        <v>886</v>
      </c>
      <c r="AV38" s="2097"/>
      <c r="AW38" s="894">
        <f>AW35/AW36</f>
        <v>627.93023255813955</v>
      </c>
      <c r="AZ38" s="2097" t="s">
        <v>886</v>
      </c>
      <c r="BA38" s="2097"/>
      <c r="BB38" s="894">
        <f>BB35/BB36</f>
        <v>585.95348837209303</v>
      </c>
      <c r="BE38" s="2097" t="s">
        <v>886</v>
      </c>
      <c r="BF38" s="2097"/>
      <c r="BG38" s="894">
        <f>BG35/BG36</f>
        <v>593.02325581395348</v>
      </c>
      <c r="BJ38" s="2097" t="s">
        <v>886</v>
      </c>
      <c r="BK38" s="2097"/>
      <c r="BL38" s="894">
        <f>BL35/BL36</f>
        <v>0</v>
      </c>
      <c r="BO38" s="2097" t="s">
        <v>886</v>
      </c>
      <c r="BP38" s="2097"/>
      <c r="BQ38" s="894">
        <f>BQ35/BQ36</f>
        <v>0</v>
      </c>
      <c r="BT38" s="2097" t="s">
        <v>886</v>
      </c>
      <c r="BU38" s="2097"/>
      <c r="BV38" s="894">
        <f>BV35/BV36</f>
        <v>0</v>
      </c>
      <c r="BY38" s="2097" t="s">
        <v>886</v>
      </c>
      <c r="BZ38" s="2097"/>
      <c r="CA38" s="894">
        <f>CA35/CA36</f>
        <v>0</v>
      </c>
      <c r="CD38" s="2097" t="s">
        <v>886</v>
      </c>
      <c r="CE38" s="2097"/>
      <c r="CF38" s="894">
        <f>CF35/CF36</f>
        <v>0</v>
      </c>
      <c r="CI38" s="2097" t="s">
        <v>886</v>
      </c>
      <c r="CJ38" s="2097"/>
      <c r="CK38" s="894">
        <f>CK35/CK36</f>
        <v>0</v>
      </c>
      <c r="CN38" s="2097" t="s">
        <v>886</v>
      </c>
      <c r="CO38" s="2097"/>
      <c r="CP38" s="894">
        <f>CP35/CP36</f>
        <v>0</v>
      </c>
      <c r="CS38" s="2097" t="s">
        <v>886</v>
      </c>
      <c r="CT38" s="2097"/>
      <c r="CU38" s="894">
        <f>CU35/CU36</f>
        <v>0</v>
      </c>
      <c r="CX38" s="2097" t="s">
        <v>886</v>
      </c>
      <c r="CY38" s="2097"/>
      <c r="CZ38" s="894">
        <f>CZ35/CZ36</f>
        <v>0</v>
      </c>
      <c r="DC38" s="2097" t="s">
        <v>886</v>
      </c>
      <c r="DD38" s="2097"/>
      <c r="DE38" s="894">
        <f>DE35/DE36</f>
        <v>0</v>
      </c>
      <c r="DH38" s="2097" t="s">
        <v>886</v>
      </c>
      <c r="DI38" s="2097"/>
      <c r="DJ38" s="894">
        <f>DJ35/DJ36</f>
        <v>0</v>
      </c>
      <c r="DM38" s="2097" t="s">
        <v>886</v>
      </c>
      <c r="DN38" s="2097"/>
      <c r="DO38" s="894">
        <f>DO35/DO36</f>
        <v>0</v>
      </c>
    </row>
  </sheetData>
  <mergeCells count="144">
    <mergeCell ref="B38:C38"/>
    <mergeCell ref="G1:G2"/>
    <mergeCell ref="J1:J2"/>
    <mergeCell ref="G35:H35"/>
    <mergeCell ref="G36:H36"/>
    <mergeCell ref="G37:I37"/>
    <mergeCell ref="G38:H38"/>
    <mergeCell ref="B1:B2"/>
    <mergeCell ref="E1:E2"/>
    <mergeCell ref="B35:C35"/>
    <mergeCell ref="B36:C36"/>
    <mergeCell ref="B37:D37"/>
    <mergeCell ref="V1:V2"/>
    <mergeCell ref="Y1:Y2"/>
    <mergeCell ref="V35:W35"/>
    <mergeCell ref="V36:W36"/>
    <mergeCell ref="V37:X37"/>
    <mergeCell ref="L38:M38"/>
    <mergeCell ref="Q1:Q2"/>
    <mergeCell ref="T1:T2"/>
    <mergeCell ref="Q35:R35"/>
    <mergeCell ref="Q36:R36"/>
    <mergeCell ref="Q37:S37"/>
    <mergeCell ref="Q38:R38"/>
    <mergeCell ref="L1:L2"/>
    <mergeCell ref="O1:O2"/>
    <mergeCell ref="L35:M35"/>
    <mergeCell ref="L36:M36"/>
    <mergeCell ref="L37:N37"/>
    <mergeCell ref="AK38:AL38"/>
    <mergeCell ref="AP38:AQ38"/>
    <mergeCell ref="AU38:AV38"/>
    <mergeCell ref="AZ38:BA38"/>
    <mergeCell ref="BE38:BF38"/>
    <mergeCell ref="V38:W38"/>
    <mergeCell ref="AF38:AG38"/>
    <mergeCell ref="AF35:AG35"/>
    <mergeCell ref="AF36:AG36"/>
    <mergeCell ref="AF37:AH37"/>
    <mergeCell ref="AA35:AB35"/>
    <mergeCell ref="AA36:AB36"/>
    <mergeCell ref="AA37:AC37"/>
    <mergeCell ref="AA38:AB38"/>
    <mergeCell ref="AK36:AL36"/>
    <mergeCell ref="AP36:AQ36"/>
    <mergeCell ref="AU36:AV36"/>
    <mergeCell ref="AZ36:BA36"/>
    <mergeCell ref="BE36:BF36"/>
    <mergeCell ref="AZ35:BA35"/>
    <mergeCell ref="AK37:AM37"/>
    <mergeCell ref="AP37:AR37"/>
    <mergeCell ref="AU37:AW37"/>
    <mergeCell ref="AZ37:BB37"/>
    <mergeCell ref="BE37:BG37"/>
    <mergeCell ref="BH1:BH2"/>
    <mergeCell ref="AF1:AF2"/>
    <mergeCell ref="AI1:AI2"/>
    <mergeCell ref="AK35:AL35"/>
    <mergeCell ref="AP35:AQ35"/>
    <mergeCell ref="AU35:AV35"/>
    <mergeCell ref="AU1:AU2"/>
    <mergeCell ref="AS1:AS2"/>
    <mergeCell ref="BE35:BF35"/>
    <mergeCell ref="AA1:AA2"/>
    <mergeCell ref="AD1:AD2"/>
    <mergeCell ref="AK1:AK2"/>
    <mergeCell ref="AN1:AN2"/>
    <mergeCell ref="AP1:AP2"/>
    <mergeCell ref="AX1:AX2"/>
    <mergeCell ref="AZ1:AZ2"/>
    <mergeCell ref="BC1:BC2"/>
    <mergeCell ref="BE1:BE2"/>
    <mergeCell ref="BJ38:BK38"/>
    <mergeCell ref="BO1:BO2"/>
    <mergeCell ref="BR1:BR2"/>
    <mergeCell ref="BO35:BP35"/>
    <mergeCell ref="BO36:BP36"/>
    <mergeCell ref="BO37:BQ37"/>
    <mergeCell ref="BO38:BP38"/>
    <mergeCell ref="BJ1:BJ2"/>
    <mergeCell ref="BM1:BM2"/>
    <mergeCell ref="BJ35:BK35"/>
    <mergeCell ref="BJ36:BK36"/>
    <mergeCell ref="BJ37:BL37"/>
    <mergeCell ref="BT38:BU38"/>
    <mergeCell ref="BY1:BY2"/>
    <mergeCell ref="CB1:CB2"/>
    <mergeCell ref="BY35:BZ35"/>
    <mergeCell ref="BY36:BZ36"/>
    <mergeCell ref="BY37:CA37"/>
    <mergeCell ref="BY38:BZ38"/>
    <mergeCell ref="BT1:BT2"/>
    <mergeCell ref="BW1:BW2"/>
    <mergeCell ref="BT35:BU35"/>
    <mergeCell ref="BT36:BU36"/>
    <mergeCell ref="BT37:BV37"/>
    <mergeCell ref="CD38:CE38"/>
    <mergeCell ref="CI1:CI2"/>
    <mergeCell ref="CL1:CL2"/>
    <mergeCell ref="CI35:CJ35"/>
    <mergeCell ref="CI36:CJ36"/>
    <mergeCell ref="CI37:CK37"/>
    <mergeCell ref="CI38:CJ38"/>
    <mergeCell ref="CD1:CD2"/>
    <mergeCell ref="CG1:CG2"/>
    <mergeCell ref="CD35:CE35"/>
    <mergeCell ref="CD36:CE36"/>
    <mergeCell ref="CD37:CF37"/>
    <mergeCell ref="CN38:CO38"/>
    <mergeCell ref="CS1:CS2"/>
    <mergeCell ref="CV1:CV2"/>
    <mergeCell ref="CS35:CT35"/>
    <mergeCell ref="CS36:CT36"/>
    <mergeCell ref="CS37:CU37"/>
    <mergeCell ref="CS38:CT38"/>
    <mergeCell ref="CN1:CN2"/>
    <mergeCell ref="CQ1:CQ2"/>
    <mergeCell ref="CN35:CO35"/>
    <mergeCell ref="CN36:CO36"/>
    <mergeCell ref="CN37:CP37"/>
    <mergeCell ref="CX38:CY38"/>
    <mergeCell ref="DC1:DC2"/>
    <mergeCell ref="DF1:DF2"/>
    <mergeCell ref="DC35:DD35"/>
    <mergeCell ref="DC36:DD36"/>
    <mergeCell ref="DC37:DE37"/>
    <mergeCell ref="DC38:DD38"/>
    <mergeCell ref="CX1:CX2"/>
    <mergeCell ref="DA1:DA2"/>
    <mergeCell ref="CX35:CY35"/>
    <mergeCell ref="CX36:CY36"/>
    <mergeCell ref="CX37:CZ37"/>
    <mergeCell ref="DH38:DI38"/>
    <mergeCell ref="DM1:DM2"/>
    <mergeCell ref="DP1:DP2"/>
    <mergeCell ref="DM35:DN35"/>
    <mergeCell ref="DM36:DN36"/>
    <mergeCell ref="DM37:DO37"/>
    <mergeCell ref="DM38:DN38"/>
    <mergeCell ref="DH1:DH2"/>
    <mergeCell ref="DK1:DK2"/>
    <mergeCell ref="DH35:DI35"/>
    <mergeCell ref="DH36:DI36"/>
    <mergeCell ref="DH37:DJ37"/>
  </mergeCells>
  <pageMargins left="0.7" right="0.7" top="0.75" bottom="0.75" header="0.511811023622047" footer="0.511811023622047"/>
  <pageSetup orientation="portrait" horizontalDpi="300" verticalDpi="300"/>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5076F1-7642-4311-8B43-63341EFD25D5}">
  <dimension ref="A1:DQ39"/>
  <sheetViews>
    <sheetView showGridLines="0" topLeftCell="Z1" zoomScaleNormal="100" workbookViewId="0">
      <pane xSplit="1" topLeftCell="BB1" activePane="topRight" state="frozen"/>
      <selection activeCell="Z1" sqref="Z1"/>
      <selection pane="topRight" activeCell="BG36" sqref="BG36"/>
    </sheetView>
  </sheetViews>
  <sheetFormatPr defaultColWidth="8.7109375" defaultRowHeight="15"/>
  <cols>
    <col min="1" max="2" width="9.5703125" style="886" customWidth="1"/>
    <col min="3" max="3" width="31.42578125" style="886" bestFit="1" customWidth="1"/>
    <col min="4" max="4" width="15.5703125" style="886" bestFit="1" customWidth="1"/>
    <col min="5" max="5" width="1.5703125" style="886" customWidth="1"/>
    <col min="6" max="7" width="9.5703125" style="886" customWidth="1"/>
    <col min="8" max="8" width="31.42578125" style="886" bestFit="1" customWidth="1"/>
    <col min="9" max="9" width="15.5703125" style="886" bestFit="1" customWidth="1"/>
    <col min="10" max="10" width="1.42578125" style="886" customWidth="1"/>
    <col min="11" max="12" width="9.5703125" style="886" customWidth="1"/>
    <col min="13" max="13" width="31.42578125" style="886" bestFit="1" customWidth="1"/>
    <col min="14" max="14" width="15.5703125" style="886" bestFit="1" customWidth="1"/>
    <col min="15" max="15" width="1.5703125" style="886" customWidth="1"/>
    <col min="16" max="17" width="9.5703125" style="886" customWidth="1"/>
    <col min="18" max="18" width="31.42578125" style="886" bestFit="1" customWidth="1"/>
    <col min="19" max="19" width="15.5703125" style="886" bestFit="1" customWidth="1"/>
    <col min="20" max="20" width="1.7109375" style="886" customWidth="1"/>
    <col min="21" max="22" width="9.5703125" style="886" customWidth="1"/>
    <col min="23" max="23" width="31.42578125" style="886" bestFit="1" customWidth="1"/>
    <col min="24" max="24" width="15.5703125" style="886" bestFit="1" customWidth="1"/>
    <col min="25" max="25" width="2.140625" style="886" customWidth="1"/>
    <col min="26" max="26" width="36.28515625" style="886" bestFit="1" customWidth="1"/>
    <col min="27" max="28" width="9.5703125" style="886" customWidth="1"/>
    <col min="29" max="29" width="31.42578125" style="886" bestFit="1" customWidth="1"/>
    <col min="30" max="30" width="15.5703125" style="886" bestFit="1" customWidth="1"/>
    <col min="31" max="31" width="1.5703125" style="886" customWidth="1"/>
    <col min="32" max="33" width="9.5703125" style="886" customWidth="1"/>
    <col min="34" max="34" width="31.42578125" style="886" bestFit="1" customWidth="1"/>
    <col min="35" max="35" width="15.5703125" style="886" bestFit="1" customWidth="1"/>
    <col min="36" max="36" width="1.5703125" style="886" customWidth="1"/>
    <col min="37" max="38" width="9.5703125" style="886" customWidth="1"/>
    <col min="39" max="39" width="31.42578125" style="886" bestFit="1" customWidth="1"/>
    <col min="40" max="40" width="15.5703125" style="886" bestFit="1" customWidth="1"/>
    <col min="41" max="41" width="2.28515625" style="886" customWidth="1"/>
    <col min="42" max="43" width="9.5703125" style="886" customWidth="1"/>
    <col min="44" max="44" width="31.42578125" style="886" bestFit="1" customWidth="1"/>
    <col min="45" max="45" width="15.5703125" style="886" bestFit="1" customWidth="1"/>
    <col min="46" max="46" width="1.7109375" style="886" customWidth="1"/>
    <col min="47" max="48" width="8.42578125" style="886" customWidth="1"/>
    <col min="49" max="49" width="31.42578125" style="886" bestFit="1" customWidth="1"/>
    <col min="50" max="50" width="15.5703125" style="886" bestFit="1" customWidth="1"/>
    <col min="51" max="51" width="1.42578125" style="886" customWidth="1"/>
    <col min="52" max="53" width="8.85546875" style="886" customWidth="1"/>
    <col min="54" max="54" width="31.42578125" style="886" bestFit="1" customWidth="1"/>
    <col min="55" max="55" width="15.5703125" style="886" customWidth="1"/>
    <col min="56" max="56" width="1.42578125" style="886" customWidth="1"/>
    <col min="57" max="58" width="8.85546875" style="886" customWidth="1"/>
    <col min="59" max="59" width="31.42578125" style="886" bestFit="1" customWidth="1"/>
    <col min="60" max="61" width="15.5703125" style="886" customWidth="1"/>
    <col min="62" max="62" width="1.42578125" style="886" customWidth="1"/>
    <col min="63" max="64" width="8.85546875" style="886" customWidth="1"/>
    <col min="65" max="65" width="31.42578125" style="886" bestFit="1" customWidth="1"/>
    <col min="66" max="66" width="15.5703125" style="886" customWidth="1"/>
    <col min="67" max="67" width="1.42578125" style="886" customWidth="1"/>
    <col min="68" max="69" width="8.85546875" style="886" customWidth="1"/>
    <col min="70" max="70" width="31.42578125" style="886" bestFit="1" customWidth="1"/>
    <col min="71" max="71" width="15.5703125" style="886" customWidth="1"/>
    <col min="72" max="72" width="1.42578125" style="886" customWidth="1"/>
    <col min="73" max="74" width="8.85546875" style="886" customWidth="1"/>
    <col min="75" max="75" width="31.42578125" style="886" bestFit="1" customWidth="1"/>
    <col min="76" max="76" width="15.5703125" style="886" customWidth="1"/>
    <col min="77" max="77" width="1.42578125" style="886" customWidth="1"/>
    <col min="78" max="79" width="8.85546875" style="886" customWidth="1"/>
    <col min="80" max="80" width="31.42578125" style="886" bestFit="1" customWidth="1"/>
    <col min="81" max="81" width="15.5703125" style="886" customWidth="1"/>
    <col min="82" max="82" width="1.42578125" style="886" customWidth="1"/>
    <col min="83" max="84" width="8.85546875" style="886" customWidth="1"/>
    <col min="85" max="85" width="31.42578125" style="886" bestFit="1" customWidth="1"/>
    <col min="86" max="86" width="15.5703125" style="886" customWidth="1"/>
    <col min="87" max="87" width="1.42578125" style="886" customWidth="1"/>
    <col min="88" max="89" width="8.85546875" style="886" customWidth="1"/>
    <col min="90" max="90" width="31.42578125" style="886" bestFit="1" customWidth="1"/>
    <col min="91" max="91" width="15.5703125" style="886" customWidth="1"/>
    <col min="92" max="92" width="1.42578125" style="886" customWidth="1"/>
    <col min="93" max="94" width="8.85546875" style="886" customWidth="1"/>
    <col min="95" max="95" width="31.42578125" style="886" bestFit="1" customWidth="1"/>
    <col min="96" max="96" width="15.5703125" style="886" customWidth="1"/>
    <col min="97" max="97" width="1.42578125" style="886" customWidth="1"/>
    <col min="98" max="99" width="8.85546875" style="886" customWidth="1"/>
    <col min="100" max="100" width="31.42578125" style="886" bestFit="1" customWidth="1"/>
    <col min="101" max="101" width="15.5703125" style="886" customWidth="1"/>
    <col min="102" max="102" width="1.42578125" style="886" customWidth="1"/>
    <col min="103" max="104" width="8.85546875" style="886" customWidth="1"/>
    <col min="105" max="105" width="31.42578125" style="886" bestFit="1" customWidth="1"/>
    <col min="106" max="106" width="15.5703125" style="886" customWidth="1"/>
    <col min="107" max="107" width="1.42578125" style="886" customWidth="1"/>
    <col min="108" max="109" width="8.85546875" style="886" customWidth="1"/>
    <col min="110" max="110" width="31.42578125" style="886" bestFit="1" customWidth="1"/>
    <col min="111" max="111" width="15.5703125" style="886" customWidth="1"/>
    <col min="112" max="112" width="1.42578125" style="886" customWidth="1"/>
    <col min="113" max="114" width="8.85546875" style="886" customWidth="1"/>
    <col min="115" max="115" width="31.42578125" style="886" bestFit="1" customWidth="1"/>
    <col min="116" max="116" width="15.5703125" style="886" customWidth="1"/>
    <col min="117" max="117" width="1.42578125" style="886" customWidth="1"/>
    <col min="118" max="119" width="8.85546875" style="886" customWidth="1"/>
    <col min="120" max="120" width="31.42578125" style="886" bestFit="1" customWidth="1"/>
    <col min="121" max="121" width="15.5703125" style="886" customWidth="1"/>
    <col min="122" max="16384" width="8.7109375" style="886"/>
  </cols>
  <sheetData>
    <row r="1" spans="1:121" ht="15" customHeight="1">
      <c r="A1" s="2102" t="s">
        <v>7</v>
      </c>
      <c r="B1" s="2103" t="s">
        <v>494</v>
      </c>
      <c r="C1" s="2103" t="s">
        <v>887</v>
      </c>
      <c r="D1" s="2102" t="s">
        <v>888</v>
      </c>
      <c r="F1" s="2102" t="s">
        <v>7</v>
      </c>
      <c r="G1" s="2103" t="s">
        <v>494</v>
      </c>
      <c r="H1" s="2103" t="s">
        <v>887</v>
      </c>
      <c r="I1" s="2102" t="s">
        <v>888</v>
      </c>
      <c r="K1" s="2102" t="s">
        <v>7</v>
      </c>
      <c r="L1" s="2103" t="s">
        <v>494</v>
      </c>
      <c r="M1" s="2103" t="s">
        <v>887</v>
      </c>
      <c r="N1" s="2102" t="s">
        <v>888</v>
      </c>
      <c r="P1" s="2102" t="s">
        <v>7</v>
      </c>
      <c r="Q1" s="2103" t="s">
        <v>494</v>
      </c>
      <c r="R1" s="2103" t="s">
        <v>887</v>
      </c>
      <c r="S1" s="2102" t="s">
        <v>888</v>
      </c>
      <c r="U1" s="2102" t="s">
        <v>7</v>
      </c>
      <c r="V1" s="2103" t="s">
        <v>494</v>
      </c>
      <c r="W1" s="2103" t="s">
        <v>887</v>
      </c>
      <c r="X1" s="2102" t="s">
        <v>888</v>
      </c>
      <c r="Z1" s="880" t="s">
        <v>338</v>
      </c>
      <c r="AA1" s="2102" t="s">
        <v>7</v>
      </c>
      <c r="AB1" s="2103" t="s">
        <v>494</v>
      </c>
      <c r="AC1" s="2103" t="s">
        <v>887</v>
      </c>
      <c r="AD1" s="2102" t="s">
        <v>888</v>
      </c>
      <c r="AF1" s="2102" t="s">
        <v>7</v>
      </c>
      <c r="AG1" s="2103" t="s">
        <v>494</v>
      </c>
      <c r="AH1" s="2103" t="s">
        <v>887</v>
      </c>
      <c r="AI1" s="2102" t="s">
        <v>888</v>
      </c>
      <c r="AK1" s="2102" t="s">
        <v>7</v>
      </c>
      <c r="AL1" s="2103" t="s">
        <v>494</v>
      </c>
      <c r="AM1" s="2103" t="s">
        <v>887</v>
      </c>
      <c r="AN1" s="2102" t="s">
        <v>888</v>
      </c>
      <c r="AP1" s="2102" t="s">
        <v>7</v>
      </c>
      <c r="AQ1" s="2103" t="s">
        <v>494</v>
      </c>
      <c r="AR1" s="2103" t="s">
        <v>887</v>
      </c>
      <c r="AS1" s="2102" t="s">
        <v>888</v>
      </c>
      <c r="AU1" s="2102" t="s">
        <v>7</v>
      </c>
      <c r="AV1" s="2103" t="s">
        <v>494</v>
      </c>
      <c r="AW1" s="2103" t="s">
        <v>887</v>
      </c>
      <c r="AX1" s="2102" t="s">
        <v>888</v>
      </c>
      <c r="AZ1" s="2102" t="s">
        <v>7</v>
      </c>
      <c r="BA1" s="2103" t="s">
        <v>494</v>
      </c>
      <c r="BB1" s="2103" t="s">
        <v>887</v>
      </c>
      <c r="BC1" s="2102" t="s">
        <v>888</v>
      </c>
      <c r="BE1" s="2102" t="s">
        <v>7</v>
      </c>
      <c r="BF1" s="2103" t="s">
        <v>494</v>
      </c>
      <c r="BG1" s="2103" t="s">
        <v>887</v>
      </c>
      <c r="BH1" s="2102" t="s">
        <v>888</v>
      </c>
      <c r="BI1" s="2104">
        <v>2024</v>
      </c>
      <c r="BK1" s="2102" t="s">
        <v>7</v>
      </c>
      <c r="BL1" s="2103" t="s">
        <v>494</v>
      </c>
      <c r="BM1" s="2103" t="s">
        <v>887</v>
      </c>
      <c r="BN1" s="2102" t="s">
        <v>888</v>
      </c>
      <c r="BP1" s="2102" t="s">
        <v>7</v>
      </c>
      <c r="BQ1" s="2103" t="s">
        <v>494</v>
      </c>
      <c r="BR1" s="2103" t="s">
        <v>887</v>
      </c>
      <c r="BS1" s="2102" t="s">
        <v>888</v>
      </c>
      <c r="BU1" s="2102" t="s">
        <v>7</v>
      </c>
      <c r="BV1" s="2103" t="s">
        <v>494</v>
      </c>
      <c r="BW1" s="2103" t="s">
        <v>887</v>
      </c>
      <c r="BX1" s="2102" t="s">
        <v>888</v>
      </c>
      <c r="BZ1" s="2102" t="s">
        <v>7</v>
      </c>
      <c r="CA1" s="2103" t="s">
        <v>494</v>
      </c>
      <c r="CB1" s="2103" t="s">
        <v>887</v>
      </c>
      <c r="CC1" s="2102" t="s">
        <v>888</v>
      </c>
      <c r="CE1" s="2102" t="s">
        <v>7</v>
      </c>
      <c r="CF1" s="2103" t="s">
        <v>494</v>
      </c>
      <c r="CG1" s="2103" t="s">
        <v>887</v>
      </c>
      <c r="CH1" s="2102" t="s">
        <v>888</v>
      </c>
      <c r="CJ1" s="2102" t="s">
        <v>7</v>
      </c>
      <c r="CK1" s="2103" t="s">
        <v>494</v>
      </c>
      <c r="CL1" s="2103" t="s">
        <v>887</v>
      </c>
      <c r="CM1" s="2102" t="s">
        <v>888</v>
      </c>
      <c r="CO1" s="2102" t="s">
        <v>7</v>
      </c>
      <c r="CP1" s="2103" t="s">
        <v>494</v>
      </c>
      <c r="CQ1" s="2103" t="s">
        <v>887</v>
      </c>
      <c r="CR1" s="2102" t="s">
        <v>888</v>
      </c>
      <c r="CT1" s="2102" t="s">
        <v>7</v>
      </c>
      <c r="CU1" s="2103" t="s">
        <v>494</v>
      </c>
      <c r="CV1" s="2103" t="s">
        <v>887</v>
      </c>
      <c r="CW1" s="2102" t="s">
        <v>888</v>
      </c>
      <c r="CY1" s="2102" t="s">
        <v>7</v>
      </c>
      <c r="CZ1" s="2103" t="s">
        <v>494</v>
      </c>
      <c r="DA1" s="2103" t="s">
        <v>887</v>
      </c>
      <c r="DB1" s="2102" t="s">
        <v>888</v>
      </c>
      <c r="DD1" s="2102" t="s">
        <v>7</v>
      </c>
      <c r="DE1" s="2103" t="s">
        <v>494</v>
      </c>
      <c r="DF1" s="2103" t="s">
        <v>887</v>
      </c>
      <c r="DG1" s="2102" t="s">
        <v>888</v>
      </c>
      <c r="DI1" s="2102" t="s">
        <v>7</v>
      </c>
      <c r="DJ1" s="2103" t="s">
        <v>494</v>
      </c>
      <c r="DK1" s="2103" t="s">
        <v>887</v>
      </c>
      <c r="DL1" s="2102" t="s">
        <v>888</v>
      </c>
      <c r="DN1" s="2102" t="s">
        <v>7</v>
      </c>
      <c r="DO1" s="2103" t="s">
        <v>494</v>
      </c>
      <c r="DP1" s="2103" t="s">
        <v>887</v>
      </c>
      <c r="DQ1" s="2102" t="s">
        <v>888</v>
      </c>
    </row>
    <row r="2" spans="1:121">
      <c r="A2" s="2102"/>
      <c r="B2" s="2103"/>
      <c r="C2" s="2103"/>
      <c r="D2" s="2102"/>
      <c r="F2" s="2102"/>
      <c r="G2" s="2103"/>
      <c r="H2" s="2103"/>
      <c r="I2" s="2102"/>
      <c r="K2" s="2102"/>
      <c r="L2" s="2103"/>
      <c r="M2" s="2103"/>
      <c r="N2" s="2102"/>
      <c r="P2" s="2102"/>
      <c r="Q2" s="2103"/>
      <c r="R2" s="2103"/>
      <c r="S2" s="2102"/>
      <c r="U2" s="2102"/>
      <c r="V2" s="2103"/>
      <c r="W2" s="2103"/>
      <c r="X2" s="2102"/>
      <c r="Z2" s="883" t="s">
        <v>889</v>
      </c>
      <c r="AA2" s="2102"/>
      <c r="AB2" s="2103"/>
      <c r="AC2" s="2103"/>
      <c r="AD2" s="2102"/>
      <c r="AF2" s="2102"/>
      <c r="AG2" s="2103"/>
      <c r="AH2" s="2103"/>
      <c r="AI2" s="2102"/>
      <c r="AK2" s="2102"/>
      <c r="AL2" s="2103"/>
      <c r="AM2" s="2103"/>
      <c r="AN2" s="2102"/>
      <c r="AP2" s="2102"/>
      <c r="AQ2" s="2103"/>
      <c r="AR2" s="2103"/>
      <c r="AS2" s="2102"/>
      <c r="AU2" s="2102"/>
      <c r="AV2" s="2103"/>
      <c r="AW2" s="2103"/>
      <c r="AX2" s="2102"/>
      <c r="AZ2" s="2102"/>
      <c r="BA2" s="2103"/>
      <c r="BB2" s="2103"/>
      <c r="BC2" s="2102"/>
      <c r="BE2" s="2102"/>
      <c r="BF2" s="2103"/>
      <c r="BG2" s="2103"/>
      <c r="BH2" s="2102"/>
      <c r="BI2" s="2104"/>
      <c r="BK2" s="2102"/>
      <c r="BL2" s="2103"/>
      <c r="BM2" s="2103"/>
      <c r="BN2" s="2102"/>
      <c r="BP2" s="2102"/>
      <c r="BQ2" s="2103"/>
      <c r="BR2" s="2103"/>
      <c r="BS2" s="2102"/>
      <c r="BU2" s="2102"/>
      <c r="BV2" s="2103"/>
      <c r="BW2" s="2103"/>
      <c r="BX2" s="2102"/>
      <c r="BZ2" s="2102"/>
      <c r="CA2" s="2103"/>
      <c r="CB2" s="2103"/>
      <c r="CC2" s="2102"/>
      <c r="CE2" s="2102"/>
      <c r="CF2" s="2103"/>
      <c r="CG2" s="2103"/>
      <c r="CH2" s="2102"/>
      <c r="CJ2" s="2102"/>
      <c r="CK2" s="2103"/>
      <c r="CL2" s="2103"/>
      <c r="CM2" s="2102"/>
      <c r="CO2" s="2102"/>
      <c r="CP2" s="2103"/>
      <c r="CQ2" s="2103"/>
      <c r="CR2" s="2102"/>
      <c r="CT2" s="2102"/>
      <c r="CU2" s="2103"/>
      <c r="CV2" s="2103"/>
      <c r="CW2" s="2102"/>
      <c r="CY2" s="2102"/>
      <c r="CZ2" s="2103"/>
      <c r="DA2" s="2103"/>
      <c r="DB2" s="2102"/>
      <c r="DD2" s="2102"/>
      <c r="DE2" s="2103"/>
      <c r="DF2" s="2103"/>
      <c r="DG2" s="2102"/>
      <c r="DI2" s="2102"/>
      <c r="DJ2" s="2103"/>
      <c r="DK2" s="2103"/>
      <c r="DL2" s="2102"/>
      <c r="DN2" s="2102"/>
      <c r="DO2" s="2103"/>
      <c r="DP2" s="2103"/>
      <c r="DQ2" s="2102"/>
    </row>
    <row r="3" spans="1:121">
      <c r="A3" s="896">
        <v>44927</v>
      </c>
      <c r="B3" s="896"/>
      <c r="C3" s="884"/>
      <c r="D3" s="884"/>
      <c r="F3" s="896">
        <v>44958</v>
      </c>
      <c r="G3" s="896"/>
      <c r="H3" s="884"/>
      <c r="I3" s="884"/>
      <c r="K3" s="896">
        <v>44986</v>
      </c>
      <c r="L3" s="896"/>
      <c r="M3" s="884"/>
      <c r="N3" s="884"/>
      <c r="P3" s="896">
        <v>45017</v>
      </c>
      <c r="Q3" s="896"/>
      <c r="R3" s="884"/>
      <c r="S3" s="884"/>
      <c r="U3" s="896">
        <v>45047</v>
      </c>
      <c r="V3" s="896"/>
      <c r="W3" s="884"/>
      <c r="X3" s="884"/>
      <c r="Z3" t="s">
        <v>770</v>
      </c>
      <c r="AA3" s="896">
        <v>45078</v>
      </c>
      <c r="AB3" s="896"/>
      <c r="AC3" s="884"/>
      <c r="AD3" s="884"/>
      <c r="AF3" s="896">
        <v>45108</v>
      </c>
      <c r="AG3" s="896"/>
      <c r="AH3" s="884"/>
      <c r="AI3" s="884"/>
      <c r="AK3" s="896">
        <v>45139</v>
      </c>
      <c r="AL3" s="896"/>
      <c r="AM3" s="884"/>
      <c r="AN3" s="884"/>
      <c r="AP3" s="896">
        <v>45170</v>
      </c>
      <c r="AQ3" s="896"/>
      <c r="AR3" s="884"/>
      <c r="AS3" s="884"/>
      <c r="AU3" s="896">
        <v>45200</v>
      </c>
      <c r="AV3" s="896"/>
      <c r="AW3" s="884"/>
      <c r="AX3" s="884"/>
      <c r="AZ3" s="896">
        <v>45231</v>
      </c>
      <c r="BA3" s="896" t="s">
        <v>494</v>
      </c>
      <c r="BB3" s="884">
        <v>60</v>
      </c>
      <c r="BC3" s="884">
        <v>6540</v>
      </c>
      <c r="BE3" s="896">
        <v>45261</v>
      </c>
      <c r="BF3" s="896"/>
      <c r="BG3" s="884"/>
      <c r="BH3" s="884"/>
      <c r="BI3" s="1292"/>
      <c r="BK3" s="896">
        <v>45292</v>
      </c>
      <c r="BL3" s="896"/>
      <c r="BM3" s="884"/>
      <c r="BN3" s="884"/>
      <c r="BP3" s="896">
        <v>45323</v>
      </c>
      <c r="BQ3" s="896"/>
      <c r="BR3" s="884"/>
      <c r="BS3" s="884"/>
      <c r="BU3" s="896">
        <v>45352</v>
      </c>
      <c r="BV3" s="896"/>
      <c r="BW3" s="884"/>
      <c r="BX3" s="884"/>
      <c r="BZ3" s="896">
        <v>45383</v>
      </c>
      <c r="CA3" s="896"/>
      <c r="CB3" s="884"/>
      <c r="CC3" s="884"/>
      <c r="CE3" s="896">
        <v>45413</v>
      </c>
      <c r="CF3" s="896"/>
      <c r="CG3" s="884"/>
      <c r="CH3" s="884"/>
      <c r="CJ3" s="896">
        <v>45444</v>
      </c>
      <c r="CK3" s="896"/>
      <c r="CL3" s="884"/>
      <c r="CM3" s="884"/>
      <c r="CO3" s="896">
        <v>45474</v>
      </c>
      <c r="CP3" s="896"/>
      <c r="CQ3" s="884"/>
      <c r="CR3" s="884"/>
      <c r="CT3" s="896">
        <v>45505</v>
      </c>
      <c r="CU3" s="896"/>
      <c r="CV3" s="884"/>
      <c r="CW3" s="884"/>
      <c r="CY3" s="896">
        <v>45536</v>
      </c>
      <c r="CZ3" s="896"/>
      <c r="DA3" s="884"/>
      <c r="DB3" s="884"/>
      <c r="DD3" s="896">
        <v>45566</v>
      </c>
      <c r="DE3" s="896"/>
      <c r="DF3" s="884"/>
      <c r="DG3" s="884"/>
      <c r="DI3" s="896">
        <v>45597</v>
      </c>
      <c r="DJ3" s="896"/>
      <c r="DK3" s="884"/>
      <c r="DL3" s="884"/>
      <c r="DN3" s="896">
        <v>45627</v>
      </c>
      <c r="DO3" s="896"/>
      <c r="DP3" s="884"/>
      <c r="DQ3" s="884"/>
    </row>
    <row r="4" spans="1:121">
      <c r="A4" s="896">
        <v>44928</v>
      </c>
      <c r="B4" s="896"/>
      <c r="C4" s="884"/>
      <c r="D4" s="884"/>
      <c r="F4" s="896">
        <v>44959</v>
      </c>
      <c r="G4" s="896"/>
      <c r="H4" s="884"/>
      <c r="I4" s="884"/>
      <c r="K4" s="896">
        <v>44987</v>
      </c>
      <c r="L4" s="896"/>
      <c r="M4" s="884"/>
      <c r="N4" s="884"/>
      <c r="P4" s="896">
        <v>45018</v>
      </c>
      <c r="Q4" s="896"/>
      <c r="R4" s="884"/>
      <c r="S4" s="884"/>
      <c r="U4" s="896">
        <v>45048</v>
      </c>
      <c r="V4" s="896"/>
      <c r="W4" s="884"/>
      <c r="X4" s="884"/>
      <c r="AA4" s="896">
        <v>45079</v>
      </c>
      <c r="AB4" s="896"/>
      <c r="AC4" s="884"/>
      <c r="AD4" s="884"/>
      <c r="AF4" s="896">
        <v>45109</v>
      </c>
      <c r="AG4" s="896"/>
      <c r="AH4" s="884"/>
      <c r="AI4" s="884"/>
      <c r="AK4" s="896">
        <v>45140</v>
      </c>
      <c r="AL4" s="896"/>
      <c r="AM4" s="884"/>
      <c r="AN4" s="884"/>
      <c r="AP4" s="896">
        <v>45171</v>
      </c>
      <c r="AQ4" s="896"/>
      <c r="AR4" s="884"/>
      <c r="AS4" s="884"/>
      <c r="AU4" s="896">
        <v>45201</v>
      </c>
      <c r="AV4" s="896"/>
      <c r="AW4" s="884"/>
      <c r="AX4" s="884"/>
      <c r="AZ4" s="896">
        <v>45231</v>
      </c>
      <c r="BA4" s="896"/>
      <c r="BB4" s="884"/>
      <c r="BC4" s="884"/>
      <c r="BE4" s="896">
        <v>45262</v>
      </c>
      <c r="BF4" s="896"/>
      <c r="BG4" s="884"/>
      <c r="BH4" s="884"/>
      <c r="BI4" s="1292"/>
      <c r="BK4" s="896">
        <v>45293</v>
      </c>
      <c r="BL4" s="896"/>
      <c r="BM4" s="884"/>
      <c r="BN4" s="884"/>
      <c r="BP4" s="896">
        <v>45324</v>
      </c>
      <c r="BQ4" s="896"/>
      <c r="BR4" s="884"/>
      <c r="BS4" s="884"/>
      <c r="BU4" s="896">
        <v>45353</v>
      </c>
      <c r="BV4" s="896"/>
      <c r="BW4" s="884"/>
      <c r="BX4" s="884"/>
      <c r="BZ4" s="896">
        <v>45384</v>
      </c>
      <c r="CA4" s="896"/>
      <c r="CB4" s="884"/>
      <c r="CC4" s="884"/>
      <c r="CE4" s="896">
        <v>45414</v>
      </c>
      <c r="CF4" s="896"/>
      <c r="CG4" s="884"/>
      <c r="CH4" s="884"/>
      <c r="CJ4" s="896">
        <v>45445</v>
      </c>
      <c r="CK4" s="896"/>
      <c r="CL4" s="884"/>
      <c r="CM4" s="884"/>
      <c r="CO4" s="896">
        <v>45475</v>
      </c>
      <c r="CP4" s="896"/>
      <c r="CQ4" s="884"/>
      <c r="CR4" s="884"/>
      <c r="CT4" s="896">
        <v>45506</v>
      </c>
      <c r="CU4" s="896"/>
      <c r="CV4" s="884"/>
      <c r="CW4" s="884"/>
      <c r="CY4" s="896">
        <v>45537</v>
      </c>
      <c r="CZ4" s="896"/>
      <c r="DA4" s="884"/>
      <c r="DB4" s="884"/>
      <c r="DD4" s="896">
        <v>45567</v>
      </c>
      <c r="DE4" s="896"/>
      <c r="DF4" s="884"/>
      <c r="DG4" s="884"/>
      <c r="DI4" s="896">
        <v>45598</v>
      </c>
      <c r="DJ4" s="896"/>
      <c r="DK4" s="884"/>
      <c r="DL4" s="884"/>
      <c r="DN4" s="896">
        <v>45628</v>
      </c>
      <c r="DO4" s="896"/>
      <c r="DP4" s="884"/>
      <c r="DQ4" s="884"/>
    </row>
    <row r="5" spans="1:121">
      <c r="A5" s="896">
        <v>44929</v>
      </c>
      <c r="B5" s="897"/>
      <c r="C5" s="612"/>
      <c r="D5" s="612"/>
      <c r="F5" s="896">
        <v>44960</v>
      </c>
      <c r="G5" s="897"/>
      <c r="H5" s="612"/>
      <c r="I5" s="612"/>
      <c r="K5" s="896">
        <v>44988</v>
      </c>
      <c r="L5" s="897"/>
      <c r="M5" s="612"/>
      <c r="N5" s="612"/>
      <c r="P5" s="896">
        <v>45019</v>
      </c>
      <c r="Q5" s="897"/>
      <c r="R5" s="612"/>
      <c r="S5" s="612"/>
      <c r="U5" s="896">
        <v>45049</v>
      </c>
      <c r="V5" s="897"/>
      <c r="W5" s="612"/>
      <c r="X5" s="612"/>
      <c r="AA5" s="896">
        <v>45080</v>
      </c>
      <c r="AB5" s="897" t="s">
        <v>494</v>
      </c>
      <c r="AC5" s="1192">
        <v>60</v>
      </c>
      <c r="AD5" s="612"/>
      <c r="AF5" s="896">
        <v>45110</v>
      </c>
      <c r="AG5" s="897"/>
      <c r="AH5" s="612"/>
      <c r="AI5" s="612"/>
      <c r="AK5" s="896">
        <v>45141</v>
      </c>
      <c r="AL5" s="897" t="s">
        <v>494</v>
      </c>
      <c r="AM5" s="612">
        <v>60</v>
      </c>
      <c r="AN5" s="612">
        <v>3067</v>
      </c>
      <c r="AP5" s="896">
        <v>45172</v>
      </c>
      <c r="AQ5" s="897" t="s">
        <v>494</v>
      </c>
      <c r="AR5" s="612">
        <v>60</v>
      </c>
      <c r="AS5" s="612">
        <v>3074</v>
      </c>
      <c r="AU5" s="896">
        <v>45202</v>
      </c>
      <c r="AV5" s="896"/>
      <c r="AW5" s="884"/>
      <c r="AX5" s="884"/>
      <c r="AZ5" s="896">
        <v>45232</v>
      </c>
      <c r="BA5" s="896"/>
      <c r="BB5" s="884"/>
      <c r="BC5" s="884"/>
      <c r="BE5" s="896">
        <v>45263</v>
      </c>
      <c r="BF5" s="896"/>
      <c r="BG5" s="884"/>
      <c r="BH5" s="884"/>
      <c r="BI5" s="1292"/>
      <c r="BK5" s="896">
        <v>45294</v>
      </c>
      <c r="BL5" s="896"/>
      <c r="BM5" s="884"/>
      <c r="BN5" s="884"/>
      <c r="BP5" s="896">
        <v>45325</v>
      </c>
      <c r="BQ5" s="896"/>
      <c r="BR5" s="884"/>
      <c r="BS5" s="884"/>
      <c r="BU5" s="896">
        <v>45354</v>
      </c>
      <c r="BV5" s="896"/>
      <c r="BW5" s="884"/>
      <c r="BX5" s="884"/>
      <c r="BZ5" s="896">
        <v>45385</v>
      </c>
      <c r="CA5" s="896"/>
      <c r="CB5" s="884"/>
      <c r="CC5" s="884"/>
      <c r="CE5" s="896">
        <v>45415</v>
      </c>
      <c r="CF5" s="896"/>
      <c r="CG5" s="884"/>
      <c r="CH5" s="884"/>
      <c r="CJ5" s="896">
        <v>45446</v>
      </c>
      <c r="CK5" s="896"/>
      <c r="CL5" s="884"/>
      <c r="CM5" s="884"/>
      <c r="CO5" s="896">
        <v>45476</v>
      </c>
      <c r="CP5" s="896"/>
      <c r="CQ5" s="884"/>
      <c r="CR5" s="884"/>
      <c r="CT5" s="896">
        <v>45507</v>
      </c>
      <c r="CU5" s="896"/>
      <c r="CV5" s="884"/>
      <c r="CW5" s="884"/>
      <c r="CY5" s="896">
        <v>45538</v>
      </c>
      <c r="CZ5" s="896"/>
      <c r="DA5" s="884"/>
      <c r="DB5" s="884"/>
      <c r="DD5" s="896">
        <v>45568</v>
      </c>
      <c r="DE5" s="896"/>
      <c r="DF5" s="884"/>
      <c r="DG5" s="884"/>
      <c r="DI5" s="896">
        <v>45599</v>
      </c>
      <c r="DJ5" s="896"/>
      <c r="DK5" s="884"/>
      <c r="DL5" s="884"/>
      <c r="DN5" s="896">
        <v>45629</v>
      </c>
      <c r="DO5" s="896"/>
      <c r="DP5" s="884"/>
      <c r="DQ5" s="884"/>
    </row>
    <row r="6" spans="1:121">
      <c r="A6" s="896">
        <v>44930</v>
      </c>
      <c r="B6" s="896"/>
      <c r="C6" s="884"/>
      <c r="D6" s="884"/>
      <c r="F6" s="896">
        <v>44961</v>
      </c>
      <c r="G6" s="896"/>
      <c r="H6" s="884"/>
      <c r="I6" s="884"/>
      <c r="K6" s="896">
        <v>44989</v>
      </c>
      <c r="L6" s="896"/>
      <c r="M6" s="884"/>
      <c r="N6" s="884"/>
      <c r="P6" s="896">
        <v>45020</v>
      </c>
      <c r="Q6" s="896"/>
      <c r="R6" s="884"/>
      <c r="S6" s="884"/>
      <c r="U6" s="896">
        <v>45050</v>
      </c>
      <c r="V6" s="896"/>
      <c r="W6" s="884"/>
      <c r="X6" s="884"/>
      <c r="AA6" s="896">
        <v>45081</v>
      </c>
      <c r="AB6" s="896"/>
      <c r="AC6" s="884"/>
      <c r="AD6" s="884"/>
      <c r="AF6" s="896">
        <v>45111</v>
      </c>
      <c r="AG6" s="896"/>
      <c r="AH6" s="884"/>
      <c r="AI6" s="884"/>
      <c r="AK6" s="896">
        <v>45142</v>
      </c>
      <c r="AL6" s="896"/>
      <c r="AM6" s="884"/>
      <c r="AN6" s="884"/>
      <c r="AP6" s="896">
        <v>45173</v>
      </c>
      <c r="AQ6" s="896"/>
      <c r="AR6" s="884"/>
      <c r="AS6" s="884"/>
      <c r="AU6" s="896">
        <v>45203</v>
      </c>
      <c r="AV6" s="899" t="s">
        <v>494</v>
      </c>
      <c r="AW6" s="889">
        <v>60</v>
      </c>
      <c r="AX6" s="889">
        <v>6540</v>
      </c>
      <c r="AZ6" s="896">
        <v>45233</v>
      </c>
      <c r="BA6" s="896"/>
      <c r="BB6" s="884"/>
      <c r="BC6" s="884"/>
      <c r="BE6" s="896">
        <v>45264</v>
      </c>
      <c r="BF6" s="896"/>
      <c r="BG6" s="884"/>
      <c r="BH6" s="884"/>
      <c r="BI6" s="1292"/>
      <c r="BK6" s="896">
        <v>45295</v>
      </c>
      <c r="BL6" s="896"/>
      <c r="BM6" s="884"/>
      <c r="BN6" s="884"/>
      <c r="BP6" s="896">
        <v>45326</v>
      </c>
      <c r="BQ6" s="896"/>
      <c r="BR6" s="884"/>
      <c r="BS6" s="884"/>
      <c r="BU6" s="896">
        <v>45355</v>
      </c>
      <c r="BV6" s="896"/>
      <c r="BW6" s="884"/>
      <c r="BX6" s="884"/>
      <c r="BZ6" s="896">
        <v>45386</v>
      </c>
      <c r="CA6" s="896"/>
      <c r="CB6" s="884"/>
      <c r="CC6" s="884"/>
      <c r="CE6" s="896">
        <v>45416</v>
      </c>
      <c r="CF6" s="896"/>
      <c r="CG6" s="884"/>
      <c r="CH6" s="884"/>
      <c r="CJ6" s="896">
        <v>45447</v>
      </c>
      <c r="CK6" s="896"/>
      <c r="CL6" s="884"/>
      <c r="CM6" s="884"/>
      <c r="CO6" s="896">
        <v>45477</v>
      </c>
      <c r="CP6" s="896"/>
      <c r="CQ6" s="884"/>
      <c r="CR6" s="884"/>
      <c r="CT6" s="896">
        <v>45508</v>
      </c>
      <c r="CU6" s="896"/>
      <c r="CV6" s="884"/>
      <c r="CW6" s="884"/>
      <c r="CY6" s="896">
        <v>45539</v>
      </c>
      <c r="CZ6" s="896"/>
      <c r="DA6" s="884"/>
      <c r="DB6" s="884"/>
      <c r="DD6" s="896">
        <v>45569</v>
      </c>
      <c r="DE6" s="896"/>
      <c r="DF6" s="884"/>
      <c r="DG6" s="884"/>
      <c r="DI6" s="896">
        <v>45600</v>
      </c>
      <c r="DJ6" s="896"/>
      <c r="DK6" s="884"/>
      <c r="DL6" s="884"/>
      <c r="DN6" s="896">
        <v>45630</v>
      </c>
      <c r="DO6" s="896"/>
      <c r="DP6" s="884"/>
      <c r="DQ6" s="884"/>
    </row>
    <row r="7" spans="1:121">
      <c r="A7" s="896">
        <v>44931</v>
      </c>
      <c r="B7" s="896"/>
      <c r="C7" s="884"/>
      <c r="D7" s="884"/>
      <c r="F7" s="896">
        <v>44962</v>
      </c>
      <c r="G7" s="896"/>
      <c r="H7" s="884"/>
      <c r="I7" s="884"/>
      <c r="K7" s="896">
        <v>44990</v>
      </c>
      <c r="L7" s="896"/>
      <c r="M7" s="884"/>
      <c r="N7" s="884"/>
      <c r="P7" s="896">
        <v>45021</v>
      </c>
      <c r="Q7" s="896"/>
      <c r="R7" s="884"/>
      <c r="S7" s="884"/>
      <c r="U7" s="896">
        <v>45051</v>
      </c>
      <c r="V7" s="896"/>
      <c r="W7" s="884"/>
      <c r="X7" s="884"/>
      <c r="AA7" s="896">
        <v>45082</v>
      </c>
      <c r="AB7" s="896"/>
      <c r="AC7" s="884"/>
      <c r="AD7" s="884"/>
      <c r="AF7" s="896">
        <v>45112</v>
      </c>
      <c r="AG7" s="896"/>
      <c r="AH7" s="884"/>
      <c r="AI7" s="884"/>
      <c r="AK7" s="896">
        <v>45143</v>
      </c>
      <c r="AL7" s="896"/>
      <c r="AM7" s="884"/>
      <c r="AN7" s="884"/>
      <c r="AP7" s="896">
        <v>45174</v>
      </c>
      <c r="AQ7" s="896"/>
      <c r="AR7" s="884"/>
      <c r="AS7" s="884"/>
      <c r="AU7" s="896">
        <v>45204</v>
      </c>
      <c r="AV7" s="896"/>
      <c r="AW7" s="884"/>
      <c r="AX7" s="884"/>
      <c r="AZ7" s="896">
        <v>45234</v>
      </c>
      <c r="BA7" s="896"/>
      <c r="BB7" s="884"/>
      <c r="BC7" s="884"/>
      <c r="BE7" s="896">
        <v>45265</v>
      </c>
      <c r="BF7" s="896"/>
      <c r="BG7" s="884"/>
      <c r="BH7" s="884"/>
      <c r="BI7" s="1292"/>
      <c r="BK7" s="896">
        <v>45296</v>
      </c>
      <c r="BL7" s="896"/>
      <c r="BM7" s="884"/>
      <c r="BN7" s="884"/>
      <c r="BP7" s="896">
        <v>45327</v>
      </c>
      <c r="BQ7" s="896"/>
      <c r="BR7" s="884"/>
      <c r="BS7" s="884"/>
      <c r="BU7" s="896">
        <v>45356</v>
      </c>
      <c r="BV7" s="896"/>
      <c r="BW7" s="884"/>
      <c r="BX7" s="884"/>
      <c r="BZ7" s="896">
        <v>45387</v>
      </c>
      <c r="CA7" s="896"/>
      <c r="CB7" s="884"/>
      <c r="CC7" s="884"/>
      <c r="CE7" s="896">
        <v>45417</v>
      </c>
      <c r="CF7" s="896"/>
      <c r="CG7" s="884"/>
      <c r="CH7" s="884"/>
      <c r="CJ7" s="896">
        <v>45448</v>
      </c>
      <c r="CK7" s="896"/>
      <c r="CL7" s="884"/>
      <c r="CM7" s="884"/>
      <c r="CO7" s="896">
        <v>45478</v>
      </c>
      <c r="CP7" s="896"/>
      <c r="CQ7" s="884"/>
      <c r="CR7" s="884"/>
      <c r="CT7" s="896">
        <v>45509</v>
      </c>
      <c r="CU7" s="896"/>
      <c r="CV7" s="884"/>
      <c r="CW7" s="884"/>
      <c r="CY7" s="896">
        <v>45540</v>
      </c>
      <c r="CZ7" s="896"/>
      <c r="DA7" s="884"/>
      <c r="DB7" s="884"/>
      <c r="DD7" s="896">
        <v>45570</v>
      </c>
      <c r="DE7" s="896"/>
      <c r="DF7" s="884"/>
      <c r="DG7" s="884"/>
      <c r="DI7" s="896">
        <v>45601</v>
      </c>
      <c r="DJ7" s="896"/>
      <c r="DK7" s="884"/>
      <c r="DL7" s="884"/>
      <c r="DN7" s="896">
        <v>45631</v>
      </c>
      <c r="DO7" s="896"/>
      <c r="DP7" s="884"/>
      <c r="DQ7" s="884"/>
    </row>
    <row r="8" spans="1:121">
      <c r="A8" s="896">
        <v>44932</v>
      </c>
      <c r="B8" s="896"/>
      <c r="C8" s="884"/>
      <c r="D8" s="884"/>
      <c r="F8" s="896">
        <v>44963</v>
      </c>
      <c r="G8" s="896"/>
      <c r="H8" s="884"/>
      <c r="I8" s="884"/>
      <c r="K8" s="896">
        <v>44991</v>
      </c>
      <c r="L8" s="896"/>
      <c r="M8" s="884"/>
      <c r="N8" s="884"/>
      <c r="P8" s="896">
        <v>45022</v>
      </c>
      <c r="Q8" s="896"/>
      <c r="R8" s="884"/>
      <c r="S8" s="884"/>
      <c r="U8" s="896">
        <v>45052</v>
      </c>
      <c r="V8" s="896"/>
      <c r="W8" s="884"/>
      <c r="X8" s="884"/>
      <c r="AA8" s="896">
        <v>45083</v>
      </c>
      <c r="AB8" s="896"/>
      <c r="AC8" s="884"/>
      <c r="AD8" s="884"/>
      <c r="AF8" s="896">
        <v>45113</v>
      </c>
      <c r="AG8" s="896"/>
      <c r="AH8" s="884"/>
      <c r="AI8" s="884"/>
      <c r="AK8" s="896">
        <v>45144</v>
      </c>
      <c r="AL8" s="896"/>
      <c r="AM8" s="884"/>
      <c r="AN8" s="884"/>
      <c r="AP8" s="896">
        <v>45175</v>
      </c>
      <c r="AQ8" s="896"/>
      <c r="AR8" s="884"/>
      <c r="AS8" s="884"/>
      <c r="AU8" s="896">
        <v>45205</v>
      </c>
      <c r="AV8" s="896"/>
      <c r="AW8" s="884"/>
      <c r="AX8" s="884"/>
      <c r="AZ8" s="896">
        <v>45235</v>
      </c>
      <c r="BA8" s="896"/>
      <c r="BB8" s="884"/>
      <c r="BC8" s="884"/>
      <c r="BE8" s="896">
        <v>45266</v>
      </c>
      <c r="BF8" s="896" t="s">
        <v>494</v>
      </c>
      <c r="BG8" s="884">
        <v>60</v>
      </c>
      <c r="BH8" s="884">
        <v>3100</v>
      </c>
      <c r="BI8" s="1292"/>
      <c r="BK8" s="896">
        <v>45297</v>
      </c>
      <c r="BL8" s="896"/>
      <c r="BM8" s="884"/>
      <c r="BN8" s="884"/>
      <c r="BP8" s="896">
        <v>45328</v>
      </c>
      <c r="BQ8" s="896"/>
      <c r="BR8" s="884"/>
      <c r="BS8" s="884"/>
      <c r="BU8" s="896">
        <v>45357</v>
      </c>
      <c r="BV8" s="896"/>
      <c r="BW8" s="884"/>
      <c r="BX8" s="884"/>
      <c r="BZ8" s="896">
        <v>45388</v>
      </c>
      <c r="CA8" s="896"/>
      <c r="CB8" s="884"/>
      <c r="CC8" s="884"/>
      <c r="CE8" s="896">
        <v>45418</v>
      </c>
      <c r="CF8" s="896"/>
      <c r="CG8" s="884"/>
      <c r="CH8" s="884"/>
      <c r="CJ8" s="896">
        <v>45449</v>
      </c>
      <c r="CK8" s="896"/>
      <c r="CL8" s="884"/>
      <c r="CM8" s="884"/>
      <c r="CO8" s="896">
        <v>45479</v>
      </c>
      <c r="CP8" s="896"/>
      <c r="CQ8" s="884"/>
      <c r="CR8" s="884"/>
      <c r="CT8" s="896">
        <v>45510</v>
      </c>
      <c r="CU8" s="896"/>
      <c r="CV8" s="884"/>
      <c r="CW8" s="884"/>
      <c r="CY8" s="896">
        <v>45541</v>
      </c>
      <c r="CZ8" s="896"/>
      <c r="DA8" s="884"/>
      <c r="DB8" s="884"/>
      <c r="DD8" s="896">
        <v>45571</v>
      </c>
      <c r="DE8" s="896"/>
      <c r="DF8" s="884"/>
      <c r="DG8" s="884"/>
      <c r="DI8" s="896">
        <v>45602</v>
      </c>
      <c r="DJ8" s="896"/>
      <c r="DK8" s="884"/>
      <c r="DL8" s="884"/>
      <c r="DN8" s="896">
        <v>45632</v>
      </c>
      <c r="DO8" s="896"/>
      <c r="DP8" s="884"/>
      <c r="DQ8" s="884"/>
    </row>
    <row r="9" spans="1:121">
      <c r="A9" s="896">
        <v>44933</v>
      </c>
      <c r="B9" s="896"/>
      <c r="C9" s="884"/>
      <c r="D9" s="884"/>
      <c r="F9" s="896">
        <v>44964</v>
      </c>
      <c r="G9" s="896"/>
      <c r="H9" s="884"/>
      <c r="I9" s="884"/>
      <c r="K9" s="896">
        <v>44992</v>
      </c>
      <c r="L9" s="896"/>
      <c r="M9" s="884"/>
      <c r="N9" s="884"/>
      <c r="P9" s="896">
        <v>45023</v>
      </c>
      <c r="Q9" s="896"/>
      <c r="R9" s="884"/>
      <c r="S9" s="884"/>
      <c r="U9" s="896">
        <v>45053</v>
      </c>
      <c r="V9" s="896"/>
      <c r="W9" s="884"/>
      <c r="X9" s="884"/>
      <c r="AA9" s="896">
        <v>45084</v>
      </c>
      <c r="AB9" s="896"/>
      <c r="AC9" s="884"/>
      <c r="AD9" s="884"/>
      <c r="AF9" s="896">
        <v>45114</v>
      </c>
      <c r="AG9" s="896"/>
      <c r="AH9" s="884"/>
      <c r="AI9" s="884"/>
      <c r="AK9" s="896">
        <v>45145</v>
      </c>
      <c r="AL9" s="896"/>
      <c r="AM9" s="884"/>
      <c r="AN9" s="884"/>
      <c r="AP9" s="896">
        <v>45176</v>
      </c>
      <c r="AQ9" s="896"/>
      <c r="AR9" s="884"/>
      <c r="AS9" s="884"/>
      <c r="AU9" s="896">
        <v>45206</v>
      </c>
      <c r="AV9" s="896"/>
      <c r="AW9" s="884"/>
      <c r="AX9" s="884"/>
      <c r="AZ9" s="896">
        <v>45236</v>
      </c>
      <c r="BA9" s="896"/>
      <c r="BB9" s="884"/>
      <c r="BC9" s="884"/>
      <c r="BE9" s="896">
        <v>45267</v>
      </c>
      <c r="BF9" s="896"/>
      <c r="BG9" s="884"/>
      <c r="BH9" s="884"/>
      <c r="BI9" s="1292"/>
      <c r="BK9" s="896">
        <v>45298</v>
      </c>
      <c r="BL9" s="896"/>
      <c r="BM9" s="884"/>
      <c r="BN9" s="884"/>
      <c r="BP9" s="896">
        <v>45329</v>
      </c>
      <c r="BQ9" s="896"/>
      <c r="BR9" s="884"/>
      <c r="BS9" s="884"/>
      <c r="BU9" s="896">
        <v>45358</v>
      </c>
      <c r="BV9" s="896"/>
      <c r="BW9" s="884"/>
      <c r="BX9" s="884"/>
      <c r="BZ9" s="896">
        <v>45389</v>
      </c>
      <c r="CA9" s="896"/>
      <c r="CB9" s="884"/>
      <c r="CC9" s="884"/>
      <c r="CE9" s="896">
        <v>45419</v>
      </c>
      <c r="CF9" s="896"/>
      <c r="CG9" s="884"/>
      <c r="CH9" s="884"/>
      <c r="CJ9" s="896">
        <v>45450</v>
      </c>
      <c r="CK9" s="896"/>
      <c r="CL9" s="884"/>
      <c r="CM9" s="884"/>
      <c r="CO9" s="896">
        <v>45480</v>
      </c>
      <c r="CP9" s="896"/>
      <c r="CQ9" s="884"/>
      <c r="CR9" s="884"/>
      <c r="CT9" s="896">
        <v>45511</v>
      </c>
      <c r="CU9" s="896"/>
      <c r="CV9" s="884"/>
      <c r="CW9" s="884"/>
      <c r="CY9" s="896">
        <v>45542</v>
      </c>
      <c r="CZ9" s="896"/>
      <c r="DA9" s="884"/>
      <c r="DB9" s="884"/>
      <c r="DD9" s="896">
        <v>45572</v>
      </c>
      <c r="DE9" s="896"/>
      <c r="DF9" s="884"/>
      <c r="DG9" s="884"/>
      <c r="DI9" s="896">
        <v>45603</v>
      </c>
      <c r="DJ9" s="896"/>
      <c r="DK9" s="884"/>
      <c r="DL9" s="884"/>
      <c r="DN9" s="896">
        <v>45633</v>
      </c>
      <c r="DO9" s="896"/>
      <c r="DP9" s="884"/>
      <c r="DQ9" s="884"/>
    </row>
    <row r="10" spans="1:121">
      <c r="A10" s="896">
        <v>44934</v>
      </c>
      <c r="B10" s="896"/>
      <c r="C10" s="884"/>
      <c r="D10" s="884"/>
      <c r="F10" s="896">
        <v>44965</v>
      </c>
      <c r="G10" s="896"/>
      <c r="H10" s="884"/>
      <c r="I10" s="884"/>
      <c r="K10" s="896">
        <v>44993</v>
      </c>
      <c r="L10" s="896"/>
      <c r="M10" s="884"/>
      <c r="N10" s="884"/>
      <c r="P10" s="896">
        <v>45024</v>
      </c>
      <c r="Q10" s="896"/>
      <c r="R10" s="884"/>
      <c r="S10" s="884"/>
      <c r="U10" s="896">
        <v>45054</v>
      </c>
      <c r="V10" s="896"/>
      <c r="W10" s="884"/>
      <c r="X10" s="884"/>
      <c r="AA10" s="896">
        <v>45085</v>
      </c>
      <c r="AB10" s="896"/>
      <c r="AC10" s="884"/>
      <c r="AD10" s="884"/>
      <c r="AF10" s="896">
        <v>45115</v>
      </c>
      <c r="AG10" s="896"/>
      <c r="AH10" s="884"/>
      <c r="AI10" s="884"/>
      <c r="AK10" s="896">
        <v>45146</v>
      </c>
      <c r="AL10" s="896"/>
      <c r="AM10" s="884"/>
      <c r="AN10" s="884"/>
      <c r="AP10" s="896">
        <v>45177</v>
      </c>
      <c r="AQ10" s="896"/>
      <c r="AR10" s="884"/>
      <c r="AS10" s="884"/>
      <c r="AU10" s="896">
        <v>45207</v>
      </c>
      <c r="AV10" s="896"/>
      <c r="AW10" s="884"/>
      <c r="AX10" s="884"/>
      <c r="AZ10" s="896">
        <v>45237</v>
      </c>
      <c r="BA10" s="896"/>
      <c r="BB10" s="884"/>
      <c r="BC10" s="884"/>
      <c r="BE10" s="896">
        <v>45268</v>
      </c>
      <c r="BF10" s="896"/>
      <c r="BG10" s="884"/>
      <c r="BH10" s="884"/>
      <c r="BI10" s="1292"/>
      <c r="BK10" s="896">
        <v>45299</v>
      </c>
      <c r="BL10" s="896"/>
      <c r="BM10" s="884"/>
      <c r="BN10" s="884"/>
      <c r="BP10" s="896">
        <v>45330</v>
      </c>
      <c r="BQ10" s="896"/>
      <c r="BR10" s="884"/>
      <c r="BS10" s="884"/>
      <c r="BU10" s="896">
        <v>45359</v>
      </c>
      <c r="BV10" s="896"/>
      <c r="BW10" s="884"/>
      <c r="BX10" s="884"/>
      <c r="BZ10" s="896">
        <v>45390</v>
      </c>
      <c r="CA10" s="896"/>
      <c r="CB10" s="884"/>
      <c r="CC10" s="884"/>
      <c r="CE10" s="896">
        <v>45420</v>
      </c>
      <c r="CF10" s="896"/>
      <c r="CG10" s="884"/>
      <c r="CH10" s="884"/>
      <c r="CJ10" s="896">
        <v>45451</v>
      </c>
      <c r="CK10" s="896"/>
      <c r="CL10" s="884"/>
      <c r="CM10" s="884"/>
      <c r="CO10" s="896">
        <v>45481</v>
      </c>
      <c r="CP10" s="896"/>
      <c r="CQ10" s="884"/>
      <c r="CR10" s="884"/>
      <c r="CT10" s="896">
        <v>45512</v>
      </c>
      <c r="CU10" s="896"/>
      <c r="CV10" s="884"/>
      <c r="CW10" s="884"/>
      <c r="CY10" s="896">
        <v>45543</v>
      </c>
      <c r="CZ10" s="896"/>
      <c r="DA10" s="884"/>
      <c r="DB10" s="884"/>
      <c r="DD10" s="896">
        <v>45573</v>
      </c>
      <c r="DE10" s="896"/>
      <c r="DF10" s="884"/>
      <c r="DG10" s="884"/>
      <c r="DI10" s="896">
        <v>45604</v>
      </c>
      <c r="DJ10" s="896"/>
      <c r="DK10" s="884"/>
      <c r="DL10" s="884"/>
      <c r="DN10" s="896">
        <v>45634</v>
      </c>
      <c r="DO10" s="896"/>
      <c r="DP10" s="884"/>
      <c r="DQ10" s="884"/>
    </row>
    <row r="11" spans="1:121">
      <c r="A11" s="896">
        <v>44935</v>
      </c>
      <c r="B11" s="896"/>
      <c r="C11" s="884"/>
      <c r="D11" s="884"/>
      <c r="F11" s="896">
        <v>44966</v>
      </c>
      <c r="G11" s="896"/>
      <c r="H11" s="884"/>
      <c r="I11" s="884"/>
      <c r="K11" s="896">
        <v>44994</v>
      </c>
      <c r="L11" s="896"/>
      <c r="M11" s="884"/>
      <c r="N11" s="884"/>
      <c r="P11" s="896">
        <v>45025</v>
      </c>
      <c r="Q11" s="896"/>
      <c r="R11" s="884"/>
      <c r="S11" s="884"/>
      <c r="U11" s="896">
        <v>45055</v>
      </c>
      <c r="V11" s="896"/>
      <c r="W11" s="884"/>
      <c r="X11" s="884"/>
      <c r="AA11" s="896">
        <v>45086</v>
      </c>
      <c r="AB11" s="896"/>
      <c r="AC11" s="884"/>
      <c r="AD11" s="884"/>
      <c r="AF11" s="896">
        <v>45116</v>
      </c>
      <c r="AG11" s="896"/>
      <c r="AH11" s="884"/>
      <c r="AI11" s="884"/>
      <c r="AK11" s="896">
        <v>45147</v>
      </c>
      <c r="AL11" s="896"/>
      <c r="AM11" s="884"/>
      <c r="AN11" s="884"/>
      <c r="AP11" s="896">
        <v>45178</v>
      </c>
      <c r="AQ11" s="896"/>
      <c r="AR11" s="884"/>
      <c r="AS11" s="884"/>
      <c r="AU11" s="896">
        <v>45208</v>
      </c>
      <c r="AV11" s="896"/>
      <c r="AW11" s="884"/>
      <c r="AX11" s="884"/>
      <c r="AZ11" s="896">
        <v>45238</v>
      </c>
      <c r="BA11" s="896" t="s">
        <v>494</v>
      </c>
      <c r="BB11" s="884">
        <v>60</v>
      </c>
      <c r="BC11" s="884">
        <v>6540</v>
      </c>
      <c r="BE11" s="896">
        <v>45269</v>
      </c>
      <c r="BF11" s="896"/>
      <c r="BG11" s="884"/>
      <c r="BH11" s="884"/>
      <c r="BI11" s="1292"/>
      <c r="BK11" s="896">
        <v>45300</v>
      </c>
      <c r="BL11" s="896"/>
      <c r="BM11" s="884"/>
      <c r="BN11" s="884"/>
      <c r="BP11" s="896">
        <v>45331</v>
      </c>
      <c r="BQ11" s="896"/>
      <c r="BR11" s="884"/>
      <c r="BS11" s="884"/>
      <c r="BU11" s="896">
        <v>45360</v>
      </c>
      <c r="BV11" s="896"/>
      <c r="BW11" s="884"/>
      <c r="BX11" s="884"/>
      <c r="BZ11" s="896">
        <v>45391</v>
      </c>
      <c r="CA11" s="896"/>
      <c r="CB11" s="884"/>
      <c r="CC11" s="884"/>
      <c r="CE11" s="896">
        <v>45421</v>
      </c>
      <c r="CF11" s="896"/>
      <c r="CG11" s="884"/>
      <c r="CH11" s="884"/>
      <c r="CJ11" s="896">
        <v>45452</v>
      </c>
      <c r="CK11" s="896"/>
      <c r="CL11" s="884"/>
      <c r="CM11" s="884"/>
      <c r="CO11" s="896">
        <v>45482</v>
      </c>
      <c r="CP11" s="896"/>
      <c r="CQ11" s="884"/>
      <c r="CR11" s="884"/>
      <c r="CT11" s="896">
        <v>45513</v>
      </c>
      <c r="CU11" s="896"/>
      <c r="CV11" s="884"/>
      <c r="CW11" s="884"/>
      <c r="CY11" s="896">
        <v>45544</v>
      </c>
      <c r="CZ11" s="896"/>
      <c r="DA11" s="884"/>
      <c r="DB11" s="884"/>
      <c r="DD11" s="896">
        <v>45574</v>
      </c>
      <c r="DE11" s="896"/>
      <c r="DF11" s="884"/>
      <c r="DG11" s="884"/>
      <c r="DI11" s="896">
        <v>45605</v>
      </c>
      <c r="DJ11" s="896"/>
      <c r="DK11" s="884"/>
      <c r="DL11" s="884"/>
      <c r="DN11" s="896">
        <v>45635</v>
      </c>
      <c r="DO11" s="896"/>
      <c r="DP11" s="884"/>
      <c r="DQ11" s="884"/>
    </row>
    <row r="12" spans="1:121">
      <c r="A12" s="896">
        <v>44936</v>
      </c>
      <c r="B12" s="897"/>
      <c r="C12" s="612"/>
      <c r="D12" s="612"/>
      <c r="F12" s="896">
        <v>44967</v>
      </c>
      <c r="G12" s="897"/>
      <c r="H12" s="612"/>
      <c r="I12" s="612"/>
      <c r="K12" s="896">
        <v>44995</v>
      </c>
      <c r="L12" s="897"/>
      <c r="M12" s="612"/>
      <c r="N12" s="612"/>
      <c r="P12" s="896">
        <v>45026</v>
      </c>
      <c r="Q12" s="897"/>
      <c r="R12" s="612"/>
      <c r="S12" s="612"/>
      <c r="U12" s="896">
        <v>45056</v>
      </c>
      <c r="V12" s="897"/>
      <c r="W12" s="612"/>
      <c r="X12" s="612"/>
      <c r="AA12" s="896">
        <v>45087</v>
      </c>
      <c r="AB12" s="897" t="s">
        <v>494</v>
      </c>
      <c r="AC12" s="1192">
        <v>60</v>
      </c>
      <c r="AD12" s="612"/>
      <c r="AF12" s="896">
        <v>45117</v>
      </c>
      <c r="AG12" s="897"/>
      <c r="AH12" s="612"/>
      <c r="AI12" s="612"/>
      <c r="AK12" s="896">
        <v>45148</v>
      </c>
      <c r="AL12" s="897"/>
      <c r="AM12" s="612"/>
      <c r="AN12" s="612"/>
      <c r="AP12" s="896">
        <v>45179</v>
      </c>
      <c r="AQ12" s="897" t="s">
        <v>494</v>
      </c>
      <c r="AR12" s="612">
        <v>60</v>
      </c>
      <c r="AS12" s="612">
        <v>3076</v>
      </c>
      <c r="AU12" s="896">
        <v>45209</v>
      </c>
      <c r="AV12" s="896"/>
      <c r="AW12" s="884"/>
      <c r="AX12" s="884"/>
      <c r="AZ12" s="896">
        <v>45239</v>
      </c>
      <c r="BA12" s="896"/>
      <c r="BB12" s="884"/>
      <c r="BC12" s="884"/>
      <c r="BE12" s="896">
        <v>45270</v>
      </c>
      <c r="BF12" s="896" t="s">
        <v>494</v>
      </c>
      <c r="BG12" s="884">
        <v>15</v>
      </c>
      <c r="BH12" s="884">
        <v>1102</v>
      </c>
      <c r="BI12" s="1292"/>
      <c r="BK12" s="896">
        <v>45301</v>
      </c>
      <c r="BL12" s="896"/>
      <c r="BM12" s="884"/>
      <c r="BN12" s="884"/>
      <c r="BP12" s="896">
        <v>45332</v>
      </c>
      <c r="BQ12" s="896"/>
      <c r="BR12" s="884"/>
      <c r="BS12" s="884"/>
      <c r="BU12" s="896">
        <v>45361</v>
      </c>
      <c r="BV12" s="896"/>
      <c r="BW12" s="884"/>
      <c r="BX12" s="884"/>
      <c r="BZ12" s="896">
        <v>45392</v>
      </c>
      <c r="CA12" s="896"/>
      <c r="CB12" s="884"/>
      <c r="CC12" s="884"/>
      <c r="CE12" s="896">
        <v>45422</v>
      </c>
      <c r="CF12" s="896"/>
      <c r="CG12" s="884"/>
      <c r="CH12" s="884"/>
      <c r="CJ12" s="896">
        <v>45453</v>
      </c>
      <c r="CK12" s="896"/>
      <c r="CL12" s="884"/>
      <c r="CM12" s="884"/>
      <c r="CO12" s="896">
        <v>45483</v>
      </c>
      <c r="CP12" s="896"/>
      <c r="CQ12" s="884"/>
      <c r="CR12" s="884"/>
      <c r="CT12" s="896">
        <v>45514</v>
      </c>
      <c r="CU12" s="896"/>
      <c r="CV12" s="884"/>
      <c r="CW12" s="884"/>
      <c r="CY12" s="896">
        <v>45545</v>
      </c>
      <c r="CZ12" s="896"/>
      <c r="DA12" s="884"/>
      <c r="DB12" s="884"/>
      <c r="DD12" s="896">
        <v>45575</v>
      </c>
      <c r="DE12" s="896"/>
      <c r="DF12" s="884"/>
      <c r="DG12" s="884"/>
      <c r="DI12" s="896">
        <v>45606</v>
      </c>
      <c r="DJ12" s="896"/>
      <c r="DK12" s="884"/>
      <c r="DL12" s="884"/>
      <c r="DN12" s="896">
        <v>45636</v>
      </c>
      <c r="DO12" s="896"/>
      <c r="DP12" s="884"/>
      <c r="DQ12" s="884"/>
    </row>
    <row r="13" spans="1:121">
      <c r="A13" s="896">
        <v>44937</v>
      </c>
      <c r="B13" s="896"/>
      <c r="C13" s="884"/>
      <c r="D13" s="884"/>
      <c r="F13" s="896">
        <v>44968</v>
      </c>
      <c r="G13" s="896"/>
      <c r="H13" s="884"/>
      <c r="I13" s="884"/>
      <c r="K13" s="896">
        <v>44996</v>
      </c>
      <c r="L13" s="896"/>
      <c r="M13" s="884"/>
      <c r="N13" s="884"/>
      <c r="P13" s="896">
        <v>45027</v>
      </c>
      <c r="Q13" s="896"/>
      <c r="R13" s="884"/>
      <c r="S13" s="884"/>
      <c r="U13" s="896">
        <v>45057</v>
      </c>
      <c r="V13" s="896"/>
      <c r="W13" s="884"/>
      <c r="X13" s="884"/>
      <c r="AA13" s="896">
        <v>45088</v>
      </c>
      <c r="AB13" s="896"/>
      <c r="AC13" s="884"/>
      <c r="AD13" s="884"/>
      <c r="AF13" s="896">
        <v>45118</v>
      </c>
      <c r="AG13" s="896"/>
      <c r="AH13" s="884"/>
      <c r="AI13" s="884"/>
      <c r="AK13" s="896">
        <v>45149</v>
      </c>
      <c r="AL13" s="896"/>
      <c r="AM13" s="884"/>
      <c r="AN13" s="884"/>
      <c r="AP13" s="896">
        <v>45180</v>
      </c>
      <c r="AQ13" s="896"/>
      <c r="AR13" s="884"/>
      <c r="AS13" s="884"/>
      <c r="AU13" s="896">
        <v>45210</v>
      </c>
      <c r="AV13" s="899" t="s">
        <v>494</v>
      </c>
      <c r="AW13" s="889">
        <f>60+30</f>
        <v>90</v>
      </c>
      <c r="AX13" s="889" t="s">
        <v>890</v>
      </c>
      <c r="AZ13" s="896">
        <v>45240</v>
      </c>
      <c r="BA13" s="896"/>
      <c r="BB13" s="884"/>
      <c r="BC13" s="884"/>
      <c r="BE13" s="896">
        <v>45271</v>
      </c>
      <c r="BF13" s="896"/>
      <c r="BG13" s="884"/>
      <c r="BH13" s="884"/>
      <c r="BI13" s="1292"/>
      <c r="BK13" s="896">
        <v>45302</v>
      </c>
      <c r="BL13" s="896"/>
      <c r="BM13" s="884"/>
      <c r="BN13" s="884"/>
      <c r="BP13" s="896">
        <v>45333</v>
      </c>
      <c r="BQ13" s="896"/>
      <c r="BR13" s="884"/>
      <c r="BS13" s="884"/>
      <c r="BU13" s="896">
        <v>45362</v>
      </c>
      <c r="BV13" s="896"/>
      <c r="BW13" s="884"/>
      <c r="BX13" s="884"/>
      <c r="BZ13" s="896">
        <v>45393</v>
      </c>
      <c r="CA13" s="896"/>
      <c r="CB13" s="884"/>
      <c r="CC13" s="884"/>
      <c r="CE13" s="896">
        <v>45423</v>
      </c>
      <c r="CF13" s="896"/>
      <c r="CG13" s="884"/>
      <c r="CH13" s="884"/>
      <c r="CJ13" s="896">
        <v>45454</v>
      </c>
      <c r="CK13" s="896"/>
      <c r="CL13" s="884"/>
      <c r="CM13" s="884"/>
      <c r="CO13" s="896">
        <v>45484</v>
      </c>
      <c r="CP13" s="896"/>
      <c r="CQ13" s="884"/>
      <c r="CR13" s="884"/>
      <c r="CT13" s="896">
        <v>45515</v>
      </c>
      <c r="CU13" s="896"/>
      <c r="CV13" s="884"/>
      <c r="CW13" s="884"/>
      <c r="CY13" s="896">
        <v>45546</v>
      </c>
      <c r="CZ13" s="896"/>
      <c r="DA13" s="884"/>
      <c r="DB13" s="884"/>
      <c r="DD13" s="896">
        <v>45576</v>
      </c>
      <c r="DE13" s="896"/>
      <c r="DF13" s="884"/>
      <c r="DG13" s="884"/>
      <c r="DI13" s="896">
        <v>45607</v>
      </c>
      <c r="DJ13" s="896"/>
      <c r="DK13" s="884"/>
      <c r="DL13" s="884"/>
      <c r="DN13" s="896">
        <v>45637</v>
      </c>
      <c r="DO13" s="896"/>
      <c r="DP13" s="884"/>
      <c r="DQ13" s="884"/>
    </row>
    <row r="14" spans="1:121">
      <c r="A14" s="896">
        <v>44938</v>
      </c>
      <c r="B14" s="896"/>
      <c r="C14" s="884"/>
      <c r="D14" s="884"/>
      <c r="F14" s="896">
        <v>44969</v>
      </c>
      <c r="G14" s="896"/>
      <c r="H14" s="884"/>
      <c r="I14" s="884"/>
      <c r="K14" s="896">
        <v>44997</v>
      </c>
      <c r="L14" s="896"/>
      <c r="M14" s="884"/>
      <c r="N14" s="884"/>
      <c r="P14" s="896">
        <v>45028</v>
      </c>
      <c r="Q14" s="896"/>
      <c r="R14" s="884"/>
      <c r="S14" s="884"/>
      <c r="U14" s="896">
        <v>45058</v>
      </c>
      <c r="V14" s="896"/>
      <c r="W14" s="884"/>
      <c r="X14" s="884"/>
      <c r="AA14" s="896">
        <v>45089</v>
      </c>
      <c r="AB14" s="896"/>
      <c r="AC14" s="884"/>
      <c r="AD14" s="884"/>
      <c r="AF14" s="896">
        <v>45119</v>
      </c>
      <c r="AG14" s="896"/>
      <c r="AH14" s="884"/>
      <c r="AI14" s="884"/>
      <c r="AK14" s="896">
        <v>45150</v>
      </c>
      <c r="AL14" s="896"/>
      <c r="AM14" s="884"/>
      <c r="AN14" s="884"/>
      <c r="AP14" s="896">
        <v>45181</v>
      </c>
      <c r="AQ14" s="896"/>
      <c r="AR14" s="884"/>
      <c r="AS14" s="884"/>
      <c r="AU14" s="896">
        <v>45211</v>
      </c>
      <c r="AV14" s="896"/>
      <c r="AW14" s="884"/>
      <c r="AX14" s="884"/>
      <c r="AZ14" s="896">
        <v>45241</v>
      </c>
      <c r="BA14" s="896"/>
      <c r="BB14" s="884"/>
      <c r="BC14" s="884"/>
      <c r="BE14" s="896">
        <v>45272</v>
      </c>
      <c r="BF14" s="896" t="s">
        <v>494</v>
      </c>
      <c r="BG14" s="884">
        <v>90</v>
      </c>
      <c r="BH14" s="884">
        <v>1103</v>
      </c>
      <c r="BI14" s="1292"/>
      <c r="BK14" s="896">
        <v>45303</v>
      </c>
      <c r="BL14" s="896"/>
      <c r="BM14" s="884"/>
      <c r="BN14" s="884"/>
      <c r="BP14" s="896">
        <v>45334</v>
      </c>
      <c r="BQ14" s="896"/>
      <c r="BR14" s="884"/>
      <c r="BS14" s="884"/>
      <c r="BU14" s="896">
        <v>45363</v>
      </c>
      <c r="BV14" s="896"/>
      <c r="BW14" s="884"/>
      <c r="BX14" s="884"/>
      <c r="BZ14" s="896">
        <v>45394</v>
      </c>
      <c r="CA14" s="896"/>
      <c r="CB14" s="884"/>
      <c r="CC14" s="884"/>
      <c r="CE14" s="896">
        <v>45424</v>
      </c>
      <c r="CF14" s="896"/>
      <c r="CG14" s="884"/>
      <c r="CH14" s="884"/>
      <c r="CJ14" s="896">
        <v>45455</v>
      </c>
      <c r="CK14" s="896"/>
      <c r="CL14" s="884"/>
      <c r="CM14" s="884"/>
      <c r="CO14" s="896">
        <v>45485</v>
      </c>
      <c r="CP14" s="896"/>
      <c r="CQ14" s="884"/>
      <c r="CR14" s="884"/>
      <c r="CT14" s="896">
        <v>45516</v>
      </c>
      <c r="CU14" s="896"/>
      <c r="CV14" s="884"/>
      <c r="CW14" s="884"/>
      <c r="CY14" s="896">
        <v>45547</v>
      </c>
      <c r="CZ14" s="896"/>
      <c r="DA14" s="884"/>
      <c r="DB14" s="884"/>
      <c r="DD14" s="896">
        <v>45577</v>
      </c>
      <c r="DE14" s="896"/>
      <c r="DF14" s="884"/>
      <c r="DG14" s="884"/>
      <c r="DI14" s="896">
        <v>45608</v>
      </c>
      <c r="DJ14" s="896"/>
      <c r="DK14" s="884"/>
      <c r="DL14" s="884"/>
      <c r="DN14" s="896">
        <v>45638</v>
      </c>
      <c r="DO14" s="896"/>
      <c r="DP14" s="884"/>
      <c r="DQ14" s="884"/>
    </row>
    <row r="15" spans="1:121">
      <c r="A15" s="896">
        <v>44939</v>
      </c>
      <c r="B15" s="896"/>
      <c r="C15" s="884"/>
      <c r="D15" s="884"/>
      <c r="F15" s="896">
        <v>44970</v>
      </c>
      <c r="G15" s="896"/>
      <c r="H15" s="884"/>
      <c r="I15" s="884"/>
      <c r="K15" s="896">
        <v>44998</v>
      </c>
      <c r="L15" s="896"/>
      <c r="M15" s="884"/>
      <c r="N15" s="884"/>
      <c r="P15" s="896">
        <v>45029</v>
      </c>
      <c r="Q15" s="896"/>
      <c r="R15" s="884"/>
      <c r="S15" s="884"/>
      <c r="U15" s="896">
        <v>45059</v>
      </c>
      <c r="V15" s="896"/>
      <c r="W15" s="884"/>
      <c r="X15" s="884"/>
      <c r="AA15" s="896">
        <v>45090</v>
      </c>
      <c r="AB15" s="896"/>
      <c r="AC15" s="884"/>
      <c r="AD15" s="884"/>
      <c r="AF15" s="896">
        <v>45120</v>
      </c>
      <c r="AG15" s="896"/>
      <c r="AH15" s="884"/>
      <c r="AI15" s="884"/>
      <c r="AK15" s="896">
        <v>45151</v>
      </c>
      <c r="AL15" s="896"/>
      <c r="AM15" s="884"/>
      <c r="AN15" s="884"/>
      <c r="AP15" s="896">
        <v>45182</v>
      </c>
      <c r="AQ15" s="896"/>
      <c r="AR15" s="884"/>
      <c r="AS15" s="884"/>
      <c r="AU15" s="896">
        <v>45212</v>
      </c>
      <c r="AV15" s="896"/>
      <c r="AW15" s="884"/>
      <c r="AX15" s="884"/>
      <c r="AZ15" s="896">
        <v>45242</v>
      </c>
      <c r="BA15" s="896"/>
      <c r="BB15" s="884"/>
      <c r="BC15" s="884"/>
      <c r="BE15" s="896">
        <v>45273</v>
      </c>
      <c r="BF15" s="896"/>
      <c r="BG15" s="884"/>
      <c r="BH15" s="884"/>
      <c r="BI15" s="1292"/>
      <c r="BK15" s="896">
        <v>45304</v>
      </c>
      <c r="BL15" s="896"/>
      <c r="BM15" s="884"/>
      <c r="BN15" s="884"/>
      <c r="BP15" s="896">
        <v>45335</v>
      </c>
      <c r="BQ15" s="896"/>
      <c r="BR15" s="884"/>
      <c r="BS15" s="884"/>
      <c r="BU15" s="896">
        <v>45364</v>
      </c>
      <c r="BV15" s="896"/>
      <c r="BW15" s="884"/>
      <c r="BX15" s="884"/>
      <c r="BZ15" s="896">
        <v>45395</v>
      </c>
      <c r="CA15" s="896"/>
      <c r="CB15" s="884"/>
      <c r="CC15" s="884"/>
      <c r="CE15" s="896">
        <v>45425</v>
      </c>
      <c r="CF15" s="896"/>
      <c r="CG15" s="884"/>
      <c r="CH15" s="884"/>
      <c r="CJ15" s="896">
        <v>45456</v>
      </c>
      <c r="CK15" s="896"/>
      <c r="CL15" s="884"/>
      <c r="CM15" s="884"/>
      <c r="CO15" s="896">
        <v>45486</v>
      </c>
      <c r="CP15" s="896"/>
      <c r="CQ15" s="884"/>
      <c r="CR15" s="884"/>
      <c r="CT15" s="896">
        <v>45517</v>
      </c>
      <c r="CU15" s="896"/>
      <c r="CV15" s="884"/>
      <c r="CW15" s="884"/>
      <c r="CY15" s="896">
        <v>45548</v>
      </c>
      <c r="CZ15" s="896"/>
      <c r="DA15" s="884"/>
      <c r="DB15" s="884"/>
      <c r="DD15" s="896">
        <v>45578</v>
      </c>
      <c r="DE15" s="896"/>
      <c r="DF15" s="884"/>
      <c r="DG15" s="884"/>
      <c r="DI15" s="896">
        <v>45609</v>
      </c>
      <c r="DJ15" s="896"/>
      <c r="DK15" s="884"/>
      <c r="DL15" s="884"/>
      <c r="DN15" s="896">
        <v>45639</v>
      </c>
      <c r="DO15" s="896"/>
      <c r="DP15" s="884"/>
      <c r="DQ15" s="884"/>
    </row>
    <row r="16" spans="1:121">
      <c r="A16" s="896">
        <v>44940</v>
      </c>
      <c r="B16" s="896"/>
      <c r="C16" s="884"/>
      <c r="D16" s="884"/>
      <c r="F16" s="896">
        <v>44971</v>
      </c>
      <c r="G16" s="896"/>
      <c r="H16" s="884"/>
      <c r="I16" s="884"/>
      <c r="K16" s="896">
        <v>44999</v>
      </c>
      <c r="L16" s="896"/>
      <c r="M16" s="884"/>
      <c r="N16" s="884"/>
      <c r="P16" s="896">
        <v>45030</v>
      </c>
      <c r="Q16" s="896"/>
      <c r="R16" s="884"/>
      <c r="S16" s="884"/>
      <c r="U16" s="896">
        <v>45060</v>
      </c>
      <c r="V16" s="896"/>
      <c r="W16" s="884"/>
      <c r="X16" s="884"/>
      <c r="AA16" s="896">
        <v>45091</v>
      </c>
      <c r="AB16" s="896"/>
      <c r="AC16" s="884"/>
      <c r="AD16" s="884"/>
      <c r="AF16" s="896">
        <v>45121</v>
      </c>
      <c r="AG16" s="896"/>
      <c r="AH16" s="884"/>
      <c r="AI16" s="884"/>
      <c r="AK16" s="896">
        <v>45152</v>
      </c>
      <c r="AL16" s="896"/>
      <c r="AM16" s="884"/>
      <c r="AN16" s="884"/>
      <c r="AP16" s="896">
        <v>45183</v>
      </c>
      <c r="AQ16" s="896"/>
      <c r="AR16" s="884"/>
      <c r="AS16" s="884"/>
      <c r="AU16" s="896">
        <v>45213</v>
      </c>
      <c r="AV16" s="896"/>
      <c r="AW16" s="884"/>
      <c r="AX16" s="884"/>
      <c r="AZ16" s="896">
        <v>45243</v>
      </c>
      <c r="BA16" s="896"/>
      <c r="BB16" s="884"/>
      <c r="BC16" s="884"/>
      <c r="BE16" s="896">
        <v>45274</v>
      </c>
      <c r="BF16" s="896"/>
      <c r="BG16" s="884"/>
      <c r="BH16" s="884"/>
      <c r="BI16" s="1292"/>
      <c r="BK16" s="896">
        <v>45305</v>
      </c>
      <c r="BL16" s="896"/>
      <c r="BM16" s="884"/>
      <c r="BN16" s="884"/>
      <c r="BP16" s="896">
        <v>45336</v>
      </c>
      <c r="BQ16" s="896"/>
      <c r="BR16" s="884"/>
      <c r="BS16" s="884"/>
      <c r="BU16" s="896">
        <v>45365</v>
      </c>
      <c r="BV16" s="896"/>
      <c r="BW16" s="884"/>
      <c r="BX16" s="884"/>
      <c r="BZ16" s="896">
        <v>45396</v>
      </c>
      <c r="CA16" s="896"/>
      <c r="CB16" s="884"/>
      <c r="CC16" s="884"/>
      <c r="CE16" s="896">
        <v>45426</v>
      </c>
      <c r="CF16" s="896"/>
      <c r="CG16" s="884"/>
      <c r="CH16" s="884"/>
      <c r="CJ16" s="896">
        <v>45457</v>
      </c>
      <c r="CK16" s="896"/>
      <c r="CL16" s="884"/>
      <c r="CM16" s="884"/>
      <c r="CO16" s="896">
        <v>45487</v>
      </c>
      <c r="CP16" s="896"/>
      <c r="CQ16" s="884"/>
      <c r="CR16" s="884"/>
      <c r="CT16" s="896">
        <v>45518</v>
      </c>
      <c r="CU16" s="896"/>
      <c r="CV16" s="884"/>
      <c r="CW16" s="884"/>
      <c r="CY16" s="896">
        <v>45549</v>
      </c>
      <c r="CZ16" s="896"/>
      <c r="DA16" s="884"/>
      <c r="DB16" s="884"/>
      <c r="DD16" s="896">
        <v>45579</v>
      </c>
      <c r="DE16" s="896"/>
      <c r="DF16" s="884"/>
      <c r="DG16" s="884"/>
      <c r="DI16" s="896">
        <v>45610</v>
      </c>
      <c r="DJ16" s="896"/>
      <c r="DK16" s="884"/>
      <c r="DL16" s="884"/>
      <c r="DN16" s="896">
        <v>45640</v>
      </c>
      <c r="DO16" s="896"/>
      <c r="DP16" s="884"/>
      <c r="DQ16" s="884"/>
    </row>
    <row r="17" spans="1:121">
      <c r="A17" s="896">
        <v>44941</v>
      </c>
      <c r="B17" s="896"/>
      <c r="C17" s="884"/>
      <c r="D17" s="884"/>
      <c r="F17" s="896">
        <v>44972</v>
      </c>
      <c r="G17" s="896"/>
      <c r="H17" s="884"/>
      <c r="I17" s="884"/>
      <c r="K17" s="896">
        <v>45000</v>
      </c>
      <c r="L17" s="896"/>
      <c r="M17" s="884"/>
      <c r="N17" s="884"/>
      <c r="P17" s="896">
        <v>45031</v>
      </c>
      <c r="Q17" s="896"/>
      <c r="R17" s="884"/>
      <c r="S17" s="884"/>
      <c r="U17" s="896">
        <v>45061</v>
      </c>
      <c r="V17" s="896"/>
      <c r="W17" s="884"/>
      <c r="X17" s="884"/>
      <c r="AA17" s="896">
        <v>45092</v>
      </c>
      <c r="AB17" s="896"/>
      <c r="AC17" s="884"/>
      <c r="AD17" s="884"/>
      <c r="AF17" s="896">
        <v>45122</v>
      </c>
      <c r="AG17" s="896"/>
      <c r="AH17" s="884"/>
      <c r="AI17" s="884"/>
      <c r="AK17" s="896">
        <v>45153</v>
      </c>
      <c r="AL17" s="896"/>
      <c r="AM17" s="884"/>
      <c r="AN17" s="884"/>
      <c r="AP17" s="896">
        <v>45184</v>
      </c>
      <c r="AQ17" s="896"/>
      <c r="AR17" s="884"/>
      <c r="AS17" s="884"/>
      <c r="AU17" s="896">
        <v>45214</v>
      </c>
      <c r="AV17" s="896"/>
      <c r="AW17" s="884"/>
      <c r="AX17" s="884"/>
      <c r="AZ17" s="896">
        <v>45244</v>
      </c>
      <c r="BA17" s="896"/>
      <c r="BB17" s="884"/>
      <c r="BC17" s="884"/>
      <c r="BE17" s="896">
        <v>45275</v>
      </c>
      <c r="BF17" s="896"/>
      <c r="BG17" s="884"/>
      <c r="BH17" s="884"/>
      <c r="BI17" s="1292"/>
      <c r="BK17" s="896">
        <v>45306</v>
      </c>
      <c r="BL17" s="896"/>
      <c r="BM17" s="884"/>
      <c r="BN17" s="884"/>
      <c r="BP17" s="896">
        <v>45337</v>
      </c>
      <c r="BQ17" s="896"/>
      <c r="BR17" s="884"/>
      <c r="BS17" s="884"/>
      <c r="BU17" s="896">
        <v>45366</v>
      </c>
      <c r="BV17" s="896"/>
      <c r="BW17" s="884"/>
      <c r="BX17" s="884"/>
      <c r="BZ17" s="896">
        <v>45397</v>
      </c>
      <c r="CA17" s="896"/>
      <c r="CB17" s="884"/>
      <c r="CC17" s="884"/>
      <c r="CE17" s="896">
        <v>45427</v>
      </c>
      <c r="CF17" s="896"/>
      <c r="CG17" s="884"/>
      <c r="CH17" s="884"/>
      <c r="CJ17" s="896">
        <v>45458</v>
      </c>
      <c r="CK17" s="896"/>
      <c r="CL17" s="884"/>
      <c r="CM17" s="884"/>
      <c r="CO17" s="896">
        <v>45488</v>
      </c>
      <c r="CP17" s="896"/>
      <c r="CQ17" s="884"/>
      <c r="CR17" s="884"/>
      <c r="CT17" s="896">
        <v>45519</v>
      </c>
      <c r="CU17" s="896"/>
      <c r="CV17" s="884"/>
      <c r="CW17" s="884"/>
      <c r="CY17" s="896">
        <v>45550</v>
      </c>
      <c r="CZ17" s="896"/>
      <c r="DA17" s="884"/>
      <c r="DB17" s="884"/>
      <c r="DD17" s="896">
        <v>45580</v>
      </c>
      <c r="DE17" s="896"/>
      <c r="DF17" s="884"/>
      <c r="DG17" s="884"/>
      <c r="DI17" s="896">
        <v>45611</v>
      </c>
      <c r="DJ17" s="896"/>
      <c r="DK17" s="884"/>
      <c r="DL17" s="884"/>
      <c r="DN17" s="896">
        <v>45641</v>
      </c>
      <c r="DO17" s="896"/>
      <c r="DP17" s="884"/>
      <c r="DQ17" s="884"/>
    </row>
    <row r="18" spans="1:121">
      <c r="A18" s="896">
        <v>44942</v>
      </c>
      <c r="B18" s="896"/>
      <c r="C18" s="884"/>
      <c r="D18" s="884"/>
      <c r="F18" s="896">
        <v>44973</v>
      </c>
      <c r="G18" s="896"/>
      <c r="H18" s="884"/>
      <c r="I18" s="884"/>
      <c r="K18" s="896">
        <v>45001</v>
      </c>
      <c r="L18" s="896"/>
      <c r="M18" s="884"/>
      <c r="N18" s="884"/>
      <c r="P18" s="896">
        <v>45032</v>
      </c>
      <c r="Q18" s="896"/>
      <c r="R18" s="884"/>
      <c r="S18" s="884"/>
      <c r="U18" s="896">
        <v>45062</v>
      </c>
      <c r="V18" s="896"/>
      <c r="W18" s="884"/>
      <c r="X18" s="884"/>
      <c r="AA18" s="896">
        <v>45093</v>
      </c>
      <c r="AB18" s="896" t="s">
        <v>494</v>
      </c>
      <c r="AC18" s="884">
        <v>60</v>
      </c>
      <c r="AD18" s="884"/>
      <c r="AF18" s="896">
        <v>45123</v>
      </c>
      <c r="AG18" s="896"/>
      <c r="AH18" s="884"/>
      <c r="AI18" s="884"/>
      <c r="AK18" s="896">
        <v>45154</v>
      </c>
      <c r="AL18" s="896"/>
      <c r="AM18" s="884"/>
      <c r="AN18" s="884"/>
      <c r="AP18" s="896">
        <v>45185</v>
      </c>
      <c r="AQ18" s="896"/>
      <c r="AR18" s="884"/>
      <c r="AS18" s="884"/>
      <c r="AU18" s="896">
        <v>45215</v>
      </c>
      <c r="AV18" s="896"/>
      <c r="AW18" s="884"/>
      <c r="AX18" s="884"/>
      <c r="AZ18" s="896">
        <v>45245</v>
      </c>
      <c r="BA18" s="896"/>
      <c r="BB18" s="884"/>
      <c r="BC18" s="884"/>
      <c r="BE18" s="896">
        <v>45276</v>
      </c>
      <c r="BF18" s="896"/>
      <c r="BG18" s="884"/>
      <c r="BH18" s="884"/>
      <c r="BI18" s="1292"/>
      <c r="BK18" s="896">
        <v>45307</v>
      </c>
      <c r="BL18" s="896"/>
      <c r="BM18" s="884"/>
      <c r="BN18" s="884"/>
      <c r="BP18" s="896">
        <v>45338</v>
      </c>
      <c r="BQ18" s="896"/>
      <c r="BR18" s="884"/>
      <c r="BS18" s="884"/>
      <c r="BU18" s="896">
        <v>45367</v>
      </c>
      <c r="BV18" s="896"/>
      <c r="BW18" s="884"/>
      <c r="BX18" s="884"/>
      <c r="BZ18" s="896">
        <v>45398</v>
      </c>
      <c r="CA18" s="896"/>
      <c r="CB18" s="884"/>
      <c r="CC18" s="884"/>
      <c r="CE18" s="896">
        <v>45428</v>
      </c>
      <c r="CF18" s="896"/>
      <c r="CG18" s="884"/>
      <c r="CH18" s="884"/>
      <c r="CJ18" s="896">
        <v>45459</v>
      </c>
      <c r="CK18" s="896"/>
      <c r="CL18" s="884"/>
      <c r="CM18" s="884"/>
      <c r="CO18" s="896">
        <v>45489</v>
      </c>
      <c r="CP18" s="896"/>
      <c r="CQ18" s="884"/>
      <c r="CR18" s="884"/>
      <c r="CT18" s="896">
        <v>45520</v>
      </c>
      <c r="CU18" s="896"/>
      <c r="CV18" s="884"/>
      <c r="CW18" s="884"/>
      <c r="CY18" s="896">
        <v>45551</v>
      </c>
      <c r="CZ18" s="896"/>
      <c r="DA18" s="884"/>
      <c r="DB18" s="884"/>
      <c r="DD18" s="896">
        <v>45581</v>
      </c>
      <c r="DE18" s="896"/>
      <c r="DF18" s="884"/>
      <c r="DG18" s="884"/>
      <c r="DI18" s="896">
        <v>45612</v>
      </c>
      <c r="DJ18" s="896"/>
      <c r="DK18" s="884"/>
      <c r="DL18" s="884"/>
      <c r="DN18" s="896">
        <v>45642</v>
      </c>
      <c r="DO18" s="896"/>
      <c r="DP18" s="884"/>
      <c r="DQ18" s="884"/>
    </row>
    <row r="19" spans="1:121">
      <c r="A19" s="896">
        <v>44943</v>
      </c>
      <c r="B19" s="896"/>
      <c r="C19" s="884"/>
      <c r="D19" s="884"/>
      <c r="F19" s="896">
        <v>44974</v>
      </c>
      <c r="G19" s="896"/>
      <c r="H19" s="884"/>
      <c r="I19" s="884"/>
      <c r="K19" s="896">
        <v>45002</v>
      </c>
      <c r="L19" s="896"/>
      <c r="M19" s="884"/>
      <c r="N19" s="884"/>
      <c r="P19" s="896">
        <v>45033</v>
      </c>
      <c r="Q19" s="896"/>
      <c r="R19" s="884"/>
      <c r="S19" s="884"/>
      <c r="U19" s="896">
        <v>45063</v>
      </c>
      <c r="V19" s="896"/>
      <c r="W19" s="884"/>
      <c r="X19" s="884"/>
      <c r="AA19" s="896">
        <v>45094</v>
      </c>
      <c r="AB19" s="896"/>
      <c r="AC19" s="884"/>
      <c r="AD19" s="884"/>
      <c r="AF19" s="896">
        <v>45124</v>
      </c>
      <c r="AG19" s="896"/>
      <c r="AH19" s="884"/>
      <c r="AI19" s="884"/>
      <c r="AK19" s="896">
        <v>45155</v>
      </c>
      <c r="AL19" s="897" t="s">
        <v>494</v>
      </c>
      <c r="AM19" s="612">
        <v>60</v>
      </c>
      <c r="AN19" s="612">
        <v>3069</v>
      </c>
      <c r="AP19" s="896">
        <v>45186</v>
      </c>
      <c r="AQ19" s="896"/>
      <c r="AR19" s="884"/>
      <c r="AS19" s="884"/>
      <c r="AU19" s="896">
        <v>45216</v>
      </c>
      <c r="AV19" s="897" t="s">
        <v>494</v>
      </c>
      <c r="AW19" s="612">
        <v>60</v>
      </c>
      <c r="AX19" s="612">
        <v>6540</v>
      </c>
      <c r="AZ19" s="896">
        <v>45246</v>
      </c>
      <c r="BA19" s="896"/>
      <c r="BB19" s="884"/>
      <c r="BC19" s="884"/>
      <c r="BE19" s="896">
        <v>45277</v>
      </c>
      <c r="BF19" s="896"/>
      <c r="BG19" s="884"/>
      <c r="BH19" s="884"/>
      <c r="BI19" s="1292"/>
      <c r="BK19" s="896">
        <v>45308</v>
      </c>
      <c r="BL19" s="896"/>
      <c r="BM19" s="884"/>
      <c r="BN19" s="884"/>
      <c r="BP19" s="896">
        <v>45339</v>
      </c>
      <c r="BQ19" s="896"/>
      <c r="BR19" s="884"/>
      <c r="BS19" s="884"/>
      <c r="BU19" s="896">
        <v>45368</v>
      </c>
      <c r="BV19" s="896"/>
      <c r="BW19" s="884"/>
      <c r="BX19" s="884"/>
      <c r="BZ19" s="896">
        <v>45399</v>
      </c>
      <c r="CA19" s="896"/>
      <c r="CB19" s="884"/>
      <c r="CC19" s="884"/>
      <c r="CE19" s="896">
        <v>45429</v>
      </c>
      <c r="CF19" s="896"/>
      <c r="CG19" s="884"/>
      <c r="CH19" s="884"/>
      <c r="CJ19" s="896">
        <v>45460</v>
      </c>
      <c r="CK19" s="896"/>
      <c r="CL19" s="884"/>
      <c r="CM19" s="884"/>
      <c r="CO19" s="896">
        <v>45490</v>
      </c>
      <c r="CP19" s="896"/>
      <c r="CQ19" s="884"/>
      <c r="CR19" s="884"/>
      <c r="CT19" s="896">
        <v>45521</v>
      </c>
      <c r="CU19" s="896"/>
      <c r="CV19" s="884"/>
      <c r="CW19" s="884"/>
      <c r="CY19" s="896">
        <v>45552</v>
      </c>
      <c r="CZ19" s="896"/>
      <c r="DA19" s="884"/>
      <c r="DB19" s="884"/>
      <c r="DD19" s="896">
        <v>45582</v>
      </c>
      <c r="DE19" s="896"/>
      <c r="DF19" s="884"/>
      <c r="DG19" s="884"/>
      <c r="DI19" s="896">
        <v>45613</v>
      </c>
      <c r="DJ19" s="896"/>
      <c r="DK19" s="884"/>
      <c r="DL19" s="884"/>
      <c r="DN19" s="896">
        <v>45643</v>
      </c>
      <c r="DO19" s="896"/>
      <c r="DP19" s="884"/>
      <c r="DQ19" s="884"/>
    </row>
    <row r="20" spans="1:121">
      <c r="A20" s="896">
        <v>44944</v>
      </c>
      <c r="B20" s="897"/>
      <c r="C20" s="612"/>
      <c r="D20" s="612"/>
      <c r="F20" s="896">
        <v>44975</v>
      </c>
      <c r="G20" s="897"/>
      <c r="H20" s="612"/>
      <c r="I20" s="612"/>
      <c r="K20" s="896">
        <v>45003</v>
      </c>
      <c r="L20" s="897"/>
      <c r="M20" s="612"/>
      <c r="N20" s="612"/>
      <c r="P20" s="896">
        <v>45034</v>
      </c>
      <c r="Q20" s="897"/>
      <c r="R20" s="612"/>
      <c r="S20" s="612"/>
      <c r="U20" s="896">
        <v>45064</v>
      </c>
      <c r="V20" s="897"/>
      <c r="W20" s="612"/>
      <c r="X20" s="612"/>
      <c r="AA20" s="896">
        <v>45095</v>
      </c>
      <c r="AB20" s="897"/>
      <c r="AC20" s="1192"/>
      <c r="AD20" s="612"/>
      <c r="AF20" s="896">
        <v>45125</v>
      </c>
      <c r="AG20" s="897"/>
      <c r="AH20" s="612"/>
      <c r="AI20" s="612"/>
      <c r="AK20" s="896">
        <v>45156</v>
      </c>
      <c r="AL20" s="897"/>
      <c r="AM20" s="612"/>
      <c r="AN20" s="612"/>
      <c r="AP20" s="896">
        <v>45187</v>
      </c>
      <c r="AQ20" s="897" t="s">
        <v>494</v>
      </c>
      <c r="AR20" s="612">
        <v>60</v>
      </c>
      <c r="AS20" s="612">
        <v>3078</v>
      </c>
      <c r="AU20" s="896">
        <v>45217</v>
      </c>
      <c r="AV20" s="896"/>
      <c r="AW20" s="884"/>
      <c r="AX20" s="884"/>
      <c r="AZ20" s="896">
        <v>45247</v>
      </c>
      <c r="BA20" s="896"/>
      <c r="BB20" s="884"/>
      <c r="BC20" s="884"/>
      <c r="BE20" s="896">
        <v>45278</v>
      </c>
      <c r="BF20" s="896"/>
      <c r="BG20" s="884"/>
      <c r="BH20" s="884"/>
      <c r="BI20" s="1292"/>
      <c r="BK20" s="896">
        <v>45309</v>
      </c>
      <c r="BL20" s="896"/>
      <c r="BM20" s="884"/>
      <c r="BN20" s="884"/>
      <c r="BP20" s="896">
        <v>45340</v>
      </c>
      <c r="BQ20" s="896"/>
      <c r="BR20" s="884"/>
      <c r="BS20" s="884"/>
      <c r="BU20" s="896">
        <v>45369</v>
      </c>
      <c r="BV20" s="896"/>
      <c r="BW20" s="884"/>
      <c r="BX20" s="884"/>
      <c r="BZ20" s="896">
        <v>45400</v>
      </c>
      <c r="CA20" s="896"/>
      <c r="CB20" s="884"/>
      <c r="CC20" s="884"/>
      <c r="CE20" s="896">
        <v>45430</v>
      </c>
      <c r="CF20" s="896"/>
      <c r="CG20" s="884"/>
      <c r="CH20" s="884"/>
      <c r="CJ20" s="896">
        <v>45461</v>
      </c>
      <c r="CK20" s="896"/>
      <c r="CL20" s="884"/>
      <c r="CM20" s="884"/>
      <c r="CO20" s="896">
        <v>45491</v>
      </c>
      <c r="CP20" s="896"/>
      <c r="CQ20" s="884"/>
      <c r="CR20" s="884"/>
      <c r="CT20" s="896">
        <v>45522</v>
      </c>
      <c r="CU20" s="896"/>
      <c r="CV20" s="884"/>
      <c r="CW20" s="884"/>
      <c r="CY20" s="896">
        <v>45553</v>
      </c>
      <c r="CZ20" s="896"/>
      <c r="DA20" s="884"/>
      <c r="DB20" s="884"/>
      <c r="DD20" s="896">
        <v>45583</v>
      </c>
      <c r="DE20" s="896"/>
      <c r="DF20" s="884"/>
      <c r="DG20" s="884"/>
      <c r="DI20" s="896">
        <v>45614</v>
      </c>
      <c r="DJ20" s="896"/>
      <c r="DK20" s="884"/>
      <c r="DL20" s="884"/>
      <c r="DN20" s="896">
        <v>45644</v>
      </c>
      <c r="DO20" s="896"/>
      <c r="DP20" s="884"/>
      <c r="DQ20" s="884"/>
    </row>
    <row r="21" spans="1:121">
      <c r="A21" s="896">
        <v>44945</v>
      </c>
      <c r="B21" s="896"/>
      <c r="C21" s="884"/>
      <c r="D21" s="884"/>
      <c r="F21" s="896">
        <v>44976</v>
      </c>
      <c r="G21" s="896"/>
      <c r="H21" s="884"/>
      <c r="I21" s="884"/>
      <c r="K21" s="896">
        <v>45004</v>
      </c>
      <c r="L21" s="896"/>
      <c r="M21" s="884"/>
      <c r="N21" s="884"/>
      <c r="P21" s="896">
        <v>45035</v>
      </c>
      <c r="Q21" s="896"/>
      <c r="R21" s="884"/>
      <c r="S21" s="884"/>
      <c r="U21" s="896">
        <v>45065</v>
      </c>
      <c r="V21" s="896"/>
      <c r="W21" s="884"/>
      <c r="X21" s="884"/>
      <c r="AA21" s="896">
        <v>45096</v>
      </c>
      <c r="AB21" s="896"/>
      <c r="AC21" s="884"/>
      <c r="AD21" s="884"/>
      <c r="AF21" s="896">
        <v>45126</v>
      </c>
      <c r="AG21" s="896"/>
      <c r="AH21" s="884"/>
      <c r="AI21" s="884"/>
      <c r="AK21" s="896">
        <v>45157</v>
      </c>
      <c r="AL21" s="896"/>
      <c r="AM21" s="884"/>
      <c r="AN21" s="884"/>
      <c r="AP21" s="896">
        <v>45188</v>
      </c>
      <c r="AQ21" s="896"/>
      <c r="AR21" s="884"/>
      <c r="AS21" s="884"/>
      <c r="AU21" s="896">
        <v>45218</v>
      </c>
      <c r="AV21" s="896"/>
      <c r="AW21" s="884"/>
      <c r="AX21" s="884"/>
      <c r="AZ21" s="896">
        <v>45248</v>
      </c>
      <c r="BA21" s="896" t="s">
        <v>494</v>
      </c>
      <c r="BB21" s="884">
        <v>60</v>
      </c>
      <c r="BC21" s="884">
        <v>6540</v>
      </c>
      <c r="BE21" s="896">
        <v>45279</v>
      </c>
      <c r="BF21" s="896"/>
      <c r="BG21" s="884"/>
      <c r="BH21" s="884"/>
      <c r="BI21" s="1292"/>
      <c r="BK21" s="896">
        <v>45310</v>
      </c>
      <c r="BL21" s="896"/>
      <c r="BM21" s="884"/>
      <c r="BN21" s="884"/>
      <c r="BP21" s="896">
        <v>45341</v>
      </c>
      <c r="BQ21" s="896"/>
      <c r="BR21" s="884"/>
      <c r="BS21" s="884"/>
      <c r="BU21" s="896">
        <v>45370</v>
      </c>
      <c r="BV21" s="896"/>
      <c r="BW21" s="884"/>
      <c r="BX21" s="884"/>
      <c r="BZ21" s="896">
        <v>45401</v>
      </c>
      <c r="CA21" s="896"/>
      <c r="CB21" s="884"/>
      <c r="CC21" s="884"/>
      <c r="CE21" s="896">
        <v>45431</v>
      </c>
      <c r="CF21" s="896"/>
      <c r="CG21" s="884"/>
      <c r="CH21" s="884"/>
      <c r="CJ21" s="896">
        <v>45462</v>
      </c>
      <c r="CK21" s="896"/>
      <c r="CL21" s="884"/>
      <c r="CM21" s="884"/>
      <c r="CO21" s="896">
        <v>45492</v>
      </c>
      <c r="CP21" s="896"/>
      <c r="CQ21" s="884"/>
      <c r="CR21" s="884"/>
      <c r="CT21" s="896">
        <v>45523</v>
      </c>
      <c r="CU21" s="896"/>
      <c r="CV21" s="884"/>
      <c r="CW21" s="884"/>
      <c r="CY21" s="896">
        <v>45554</v>
      </c>
      <c r="CZ21" s="896"/>
      <c r="DA21" s="884"/>
      <c r="DB21" s="884"/>
      <c r="DD21" s="896">
        <v>45584</v>
      </c>
      <c r="DE21" s="896"/>
      <c r="DF21" s="884"/>
      <c r="DG21" s="884"/>
      <c r="DI21" s="896">
        <v>45615</v>
      </c>
      <c r="DJ21" s="896"/>
      <c r="DK21" s="884"/>
      <c r="DL21" s="884"/>
      <c r="DN21" s="896">
        <v>45645</v>
      </c>
      <c r="DO21" s="896"/>
      <c r="DP21" s="884"/>
      <c r="DQ21" s="884"/>
    </row>
    <row r="22" spans="1:121">
      <c r="A22" s="896">
        <v>44946</v>
      </c>
      <c r="B22" s="896"/>
      <c r="C22" s="884"/>
      <c r="D22" s="884"/>
      <c r="F22" s="896">
        <v>44977</v>
      </c>
      <c r="G22" s="896"/>
      <c r="H22" s="884"/>
      <c r="I22" s="884"/>
      <c r="K22" s="896">
        <v>45005</v>
      </c>
      <c r="L22" s="896"/>
      <c r="M22" s="884"/>
      <c r="N22" s="884"/>
      <c r="P22" s="896">
        <v>45036</v>
      </c>
      <c r="Q22" s="896"/>
      <c r="R22" s="884"/>
      <c r="S22" s="884"/>
      <c r="U22" s="896">
        <v>45066</v>
      </c>
      <c r="V22" s="896"/>
      <c r="W22" s="884"/>
      <c r="X22" s="884"/>
      <c r="AA22" s="896">
        <v>45097</v>
      </c>
      <c r="AB22" s="896"/>
      <c r="AC22" s="884"/>
      <c r="AD22" s="884"/>
      <c r="AF22" s="896">
        <v>45127</v>
      </c>
      <c r="AG22" s="896"/>
      <c r="AH22" s="884"/>
      <c r="AI22" s="884"/>
      <c r="AK22" s="896">
        <v>45158</v>
      </c>
      <c r="AL22" s="896"/>
      <c r="AM22" s="884"/>
      <c r="AN22" s="884"/>
      <c r="AP22" s="896">
        <v>45189</v>
      </c>
      <c r="AQ22" s="896"/>
      <c r="AR22" s="884"/>
      <c r="AS22" s="884"/>
      <c r="AU22" s="896">
        <v>45219</v>
      </c>
      <c r="AV22" s="896"/>
      <c r="AW22" s="884"/>
      <c r="AX22" s="884"/>
      <c r="AZ22" s="896">
        <v>45249</v>
      </c>
      <c r="BA22" s="896"/>
      <c r="BB22" s="884"/>
      <c r="BC22" s="884"/>
      <c r="BE22" s="896">
        <v>45280</v>
      </c>
      <c r="BF22" s="896"/>
      <c r="BG22" s="884"/>
      <c r="BH22" s="884"/>
      <c r="BI22" s="1292"/>
      <c r="BK22" s="896">
        <v>45311</v>
      </c>
      <c r="BL22" s="896"/>
      <c r="BM22" s="884"/>
      <c r="BN22" s="884"/>
      <c r="BP22" s="896">
        <v>45342</v>
      </c>
      <c r="BQ22" s="896"/>
      <c r="BR22" s="884"/>
      <c r="BS22" s="884"/>
      <c r="BU22" s="896">
        <v>45371</v>
      </c>
      <c r="BV22" s="896"/>
      <c r="BW22" s="884"/>
      <c r="BX22" s="884"/>
      <c r="BZ22" s="896">
        <v>45402</v>
      </c>
      <c r="CA22" s="896"/>
      <c r="CB22" s="884"/>
      <c r="CC22" s="884"/>
      <c r="CE22" s="896">
        <v>45432</v>
      </c>
      <c r="CF22" s="896"/>
      <c r="CG22" s="884"/>
      <c r="CH22" s="884"/>
      <c r="CJ22" s="896">
        <v>45463</v>
      </c>
      <c r="CK22" s="896"/>
      <c r="CL22" s="884"/>
      <c r="CM22" s="884"/>
      <c r="CO22" s="896">
        <v>45493</v>
      </c>
      <c r="CP22" s="896"/>
      <c r="CQ22" s="884"/>
      <c r="CR22" s="884"/>
      <c r="CT22" s="896">
        <v>45524</v>
      </c>
      <c r="CU22" s="896"/>
      <c r="CV22" s="884"/>
      <c r="CW22" s="884"/>
      <c r="CY22" s="896">
        <v>45555</v>
      </c>
      <c r="CZ22" s="896"/>
      <c r="DA22" s="884"/>
      <c r="DB22" s="884"/>
      <c r="DD22" s="896">
        <v>45585</v>
      </c>
      <c r="DE22" s="896"/>
      <c r="DF22" s="884"/>
      <c r="DG22" s="884"/>
      <c r="DI22" s="896">
        <v>45616</v>
      </c>
      <c r="DJ22" s="896"/>
      <c r="DK22" s="884"/>
      <c r="DL22" s="884"/>
      <c r="DN22" s="896">
        <v>45646</v>
      </c>
      <c r="DO22" s="896"/>
      <c r="DP22" s="884"/>
      <c r="DQ22" s="884"/>
    </row>
    <row r="23" spans="1:121">
      <c r="A23" s="896">
        <v>44947</v>
      </c>
      <c r="B23" s="896"/>
      <c r="C23" s="884"/>
      <c r="D23" s="884"/>
      <c r="F23" s="896">
        <v>44978</v>
      </c>
      <c r="G23" s="896"/>
      <c r="H23" s="884"/>
      <c r="I23" s="884"/>
      <c r="K23" s="896">
        <v>45006</v>
      </c>
      <c r="L23" s="896"/>
      <c r="M23" s="884"/>
      <c r="N23" s="884"/>
      <c r="P23" s="896">
        <v>45037</v>
      </c>
      <c r="Q23" s="896"/>
      <c r="R23" s="884"/>
      <c r="S23" s="884"/>
      <c r="U23" s="896">
        <v>45067</v>
      </c>
      <c r="V23" s="896"/>
      <c r="W23" s="884"/>
      <c r="X23" s="884"/>
      <c r="AA23" s="896">
        <v>45098</v>
      </c>
      <c r="AB23" s="896"/>
      <c r="AC23" s="884"/>
      <c r="AD23" s="884"/>
      <c r="AF23" s="896">
        <v>45128</v>
      </c>
      <c r="AG23" s="896"/>
      <c r="AH23" s="884"/>
      <c r="AI23" s="884"/>
      <c r="AK23" s="896">
        <v>45159</v>
      </c>
      <c r="AL23" s="896"/>
      <c r="AM23" s="884"/>
      <c r="AN23" s="884"/>
      <c r="AP23" s="896">
        <v>45190</v>
      </c>
      <c r="AQ23" s="896"/>
      <c r="AR23" s="884"/>
      <c r="AS23" s="884"/>
      <c r="AU23" s="896">
        <v>45220</v>
      </c>
      <c r="AV23" s="896"/>
      <c r="AW23" s="884"/>
      <c r="AX23" s="884"/>
      <c r="AZ23" s="896">
        <v>45250</v>
      </c>
      <c r="BA23" s="896"/>
      <c r="BB23" s="884"/>
      <c r="BC23" s="884"/>
      <c r="BE23" s="896">
        <v>45281</v>
      </c>
      <c r="BF23" s="896" t="s">
        <v>494</v>
      </c>
      <c r="BG23" s="884">
        <v>60</v>
      </c>
      <c r="BH23" s="884">
        <v>1106</v>
      </c>
      <c r="BI23" s="1292"/>
      <c r="BK23" s="896">
        <v>45312</v>
      </c>
      <c r="BL23" s="896"/>
      <c r="BM23" s="884"/>
      <c r="BN23" s="884"/>
      <c r="BP23" s="896">
        <v>45343</v>
      </c>
      <c r="BQ23" s="896"/>
      <c r="BR23" s="884"/>
      <c r="BS23" s="884"/>
      <c r="BU23" s="896">
        <v>45372</v>
      </c>
      <c r="BV23" s="896"/>
      <c r="BW23" s="884"/>
      <c r="BX23" s="884"/>
      <c r="BZ23" s="896">
        <v>45403</v>
      </c>
      <c r="CA23" s="896"/>
      <c r="CB23" s="884"/>
      <c r="CC23" s="884"/>
      <c r="CE23" s="896">
        <v>45433</v>
      </c>
      <c r="CF23" s="896"/>
      <c r="CG23" s="884"/>
      <c r="CH23" s="884"/>
      <c r="CJ23" s="896">
        <v>45464</v>
      </c>
      <c r="CK23" s="896"/>
      <c r="CL23" s="884"/>
      <c r="CM23" s="884"/>
      <c r="CO23" s="896">
        <v>45494</v>
      </c>
      <c r="CP23" s="896"/>
      <c r="CQ23" s="884"/>
      <c r="CR23" s="884"/>
      <c r="CT23" s="896">
        <v>45525</v>
      </c>
      <c r="CU23" s="896"/>
      <c r="CV23" s="884"/>
      <c r="CW23" s="884"/>
      <c r="CY23" s="896">
        <v>45556</v>
      </c>
      <c r="CZ23" s="896"/>
      <c r="DA23" s="884"/>
      <c r="DB23" s="884"/>
      <c r="DD23" s="896">
        <v>45586</v>
      </c>
      <c r="DE23" s="896"/>
      <c r="DF23" s="884"/>
      <c r="DG23" s="884"/>
      <c r="DI23" s="896">
        <v>45617</v>
      </c>
      <c r="DJ23" s="896"/>
      <c r="DK23" s="884"/>
      <c r="DL23" s="884"/>
      <c r="DN23" s="896">
        <v>45647</v>
      </c>
      <c r="DO23" s="896"/>
      <c r="DP23" s="884"/>
      <c r="DQ23" s="884"/>
    </row>
    <row r="24" spans="1:121">
      <c r="A24" s="896">
        <v>44948</v>
      </c>
      <c r="B24" s="896"/>
      <c r="C24" s="884"/>
      <c r="D24" s="884"/>
      <c r="F24" s="896">
        <v>44979</v>
      </c>
      <c r="G24" s="896"/>
      <c r="H24" s="884"/>
      <c r="I24" s="884"/>
      <c r="K24" s="896">
        <v>45007</v>
      </c>
      <c r="L24" s="896"/>
      <c r="M24" s="884"/>
      <c r="N24" s="884"/>
      <c r="P24" s="896">
        <v>45038</v>
      </c>
      <c r="Q24" s="896"/>
      <c r="R24" s="884"/>
      <c r="S24" s="884"/>
      <c r="U24" s="896">
        <v>45068</v>
      </c>
      <c r="V24" s="896"/>
      <c r="W24" s="884"/>
      <c r="X24" s="884"/>
      <c r="AA24" s="896">
        <v>45099</v>
      </c>
      <c r="AB24" s="896"/>
      <c r="AC24" s="884"/>
      <c r="AD24" s="884"/>
      <c r="AF24" s="896">
        <v>45129</v>
      </c>
      <c r="AG24" s="896"/>
      <c r="AH24" s="884"/>
      <c r="AI24" s="884"/>
      <c r="AK24" s="896">
        <v>45160</v>
      </c>
      <c r="AL24" s="896"/>
      <c r="AM24" s="884"/>
      <c r="AN24" s="884"/>
      <c r="AP24" s="896">
        <v>45191</v>
      </c>
      <c r="AQ24" s="896"/>
      <c r="AR24" s="884"/>
      <c r="AS24" s="884"/>
      <c r="AU24" s="896">
        <v>45221</v>
      </c>
      <c r="AV24" s="896"/>
      <c r="AW24" s="884"/>
      <c r="AX24" s="884"/>
      <c r="AZ24" s="896">
        <v>45251</v>
      </c>
      <c r="BA24" s="896"/>
      <c r="BB24" s="884"/>
      <c r="BC24" s="884"/>
      <c r="BE24" s="896">
        <v>45282</v>
      </c>
      <c r="BF24" s="896"/>
      <c r="BG24" s="884"/>
      <c r="BH24" s="884"/>
      <c r="BI24" s="1292"/>
      <c r="BK24" s="896">
        <v>45313</v>
      </c>
      <c r="BL24" s="896"/>
      <c r="BM24" s="884"/>
      <c r="BN24" s="884"/>
      <c r="BP24" s="896">
        <v>45344</v>
      </c>
      <c r="BQ24" s="896"/>
      <c r="BR24" s="884"/>
      <c r="BS24" s="884"/>
      <c r="BU24" s="896">
        <v>45373</v>
      </c>
      <c r="BV24" s="896"/>
      <c r="BW24" s="884"/>
      <c r="BX24" s="884"/>
      <c r="BZ24" s="896">
        <v>45404</v>
      </c>
      <c r="CA24" s="896"/>
      <c r="CB24" s="884"/>
      <c r="CC24" s="884"/>
      <c r="CE24" s="896">
        <v>45434</v>
      </c>
      <c r="CF24" s="896"/>
      <c r="CG24" s="884"/>
      <c r="CH24" s="884"/>
      <c r="CJ24" s="896">
        <v>45465</v>
      </c>
      <c r="CK24" s="896"/>
      <c r="CL24" s="884"/>
      <c r="CM24" s="884"/>
      <c r="CO24" s="896">
        <v>45495</v>
      </c>
      <c r="CP24" s="896"/>
      <c r="CQ24" s="884"/>
      <c r="CR24" s="884"/>
      <c r="CT24" s="896">
        <v>45526</v>
      </c>
      <c r="CU24" s="896"/>
      <c r="CV24" s="884"/>
      <c r="CW24" s="884"/>
      <c r="CY24" s="896">
        <v>45557</v>
      </c>
      <c r="CZ24" s="896"/>
      <c r="DA24" s="884"/>
      <c r="DB24" s="884"/>
      <c r="DD24" s="896">
        <v>45587</v>
      </c>
      <c r="DE24" s="896"/>
      <c r="DF24" s="884"/>
      <c r="DG24" s="884"/>
      <c r="DI24" s="896">
        <v>45618</v>
      </c>
      <c r="DJ24" s="896"/>
      <c r="DK24" s="884"/>
      <c r="DL24" s="884"/>
      <c r="DN24" s="896">
        <v>45648</v>
      </c>
      <c r="DO24" s="896"/>
      <c r="DP24" s="884"/>
      <c r="DQ24" s="884"/>
    </row>
    <row r="25" spans="1:121">
      <c r="A25" s="896">
        <v>44949</v>
      </c>
      <c r="B25" s="896"/>
      <c r="C25" s="884"/>
      <c r="D25" s="884"/>
      <c r="F25" s="896">
        <v>44980</v>
      </c>
      <c r="G25" s="896"/>
      <c r="H25" s="884"/>
      <c r="I25" s="884"/>
      <c r="K25" s="896">
        <v>45008</v>
      </c>
      <c r="L25" s="896"/>
      <c r="M25" s="884"/>
      <c r="N25" s="884"/>
      <c r="P25" s="896">
        <v>45039</v>
      </c>
      <c r="Q25" s="896"/>
      <c r="R25" s="884"/>
      <c r="S25" s="884"/>
      <c r="U25" s="896">
        <v>45069</v>
      </c>
      <c r="V25" s="896"/>
      <c r="W25" s="884"/>
      <c r="X25" s="884"/>
      <c r="AA25" s="896">
        <v>45100</v>
      </c>
      <c r="AB25" s="896" t="s">
        <v>494</v>
      </c>
      <c r="AC25" s="884">
        <v>60</v>
      </c>
      <c r="AD25" s="884"/>
      <c r="AF25" s="896">
        <v>45130</v>
      </c>
      <c r="AG25" s="896"/>
      <c r="AH25" s="884"/>
      <c r="AI25" s="884"/>
      <c r="AK25" s="896">
        <v>45161</v>
      </c>
      <c r="AL25" s="896"/>
      <c r="AM25" s="884"/>
      <c r="AN25" s="884"/>
      <c r="AP25" s="896">
        <v>45192</v>
      </c>
      <c r="AQ25" s="896"/>
      <c r="AR25" s="884"/>
      <c r="AS25" s="884"/>
      <c r="AU25" s="896">
        <v>45222</v>
      </c>
      <c r="AV25" s="896"/>
      <c r="AW25" s="884"/>
      <c r="AX25" s="884"/>
      <c r="AZ25" s="896">
        <v>45252</v>
      </c>
      <c r="BA25" s="896"/>
      <c r="BB25" s="884"/>
      <c r="BC25" s="884"/>
      <c r="BE25" s="896">
        <v>45283</v>
      </c>
      <c r="BF25" s="896"/>
      <c r="BG25" s="884"/>
      <c r="BH25" s="884"/>
      <c r="BI25" s="1292"/>
      <c r="BK25" s="896">
        <v>45314</v>
      </c>
      <c r="BL25" s="896"/>
      <c r="BM25" s="884"/>
      <c r="BN25" s="884"/>
      <c r="BP25" s="896">
        <v>45345</v>
      </c>
      <c r="BQ25" s="896"/>
      <c r="BR25" s="884"/>
      <c r="BS25" s="884"/>
      <c r="BU25" s="896">
        <v>45374</v>
      </c>
      <c r="BV25" s="896"/>
      <c r="BW25" s="884"/>
      <c r="BX25" s="884"/>
      <c r="BZ25" s="896">
        <v>45405</v>
      </c>
      <c r="CA25" s="896"/>
      <c r="CB25" s="884"/>
      <c r="CC25" s="884"/>
      <c r="CE25" s="896">
        <v>45435</v>
      </c>
      <c r="CF25" s="896"/>
      <c r="CG25" s="884"/>
      <c r="CH25" s="884"/>
      <c r="CJ25" s="896">
        <v>45466</v>
      </c>
      <c r="CK25" s="896"/>
      <c r="CL25" s="884"/>
      <c r="CM25" s="884"/>
      <c r="CO25" s="896">
        <v>45496</v>
      </c>
      <c r="CP25" s="896"/>
      <c r="CQ25" s="884"/>
      <c r="CR25" s="884"/>
      <c r="CT25" s="896">
        <v>45527</v>
      </c>
      <c r="CU25" s="896"/>
      <c r="CV25" s="884"/>
      <c r="CW25" s="884"/>
      <c r="CY25" s="896">
        <v>45558</v>
      </c>
      <c r="CZ25" s="896"/>
      <c r="DA25" s="884"/>
      <c r="DB25" s="884"/>
      <c r="DD25" s="896">
        <v>45588</v>
      </c>
      <c r="DE25" s="896"/>
      <c r="DF25" s="884"/>
      <c r="DG25" s="884"/>
      <c r="DI25" s="896">
        <v>45619</v>
      </c>
      <c r="DJ25" s="896"/>
      <c r="DK25" s="884"/>
      <c r="DL25" s="884"/>
      <c r="DN25" s="896">
        <v>45649</v>
      </c>
      <c r="DO25" s="896"/>
      <c r="DP25" s="884"/>
      <c r="DQ25" s="884"/>
    </row>
    <row r="26" spans="1:121">
      <c r="A26" s="896">
        <v>44950</v>
      </c>
      <c r="B26" s="896"/>
      <c r="C26" s="884"/>
      <c r="D26" s="884"/>
      <c r="F26" s="896">
        <v>44981</v>
      </c>
      <c r="G26" s="896"/>
      <c r="H26" s="884"/>
      <c r="I26" s="884"/>
      <c r="K26" s="896">
        <v>45009</v>
      </c>
      <c r="L26" s="896"/>
      <c r="M26" s="884"/>
      <c r="N26" s="884"/>
      <c r="P26" s="896">
        <v>45040</v>
      </c>
      <c r="Q26" s="896"/>
      <c r="R26" s="884"/>
      <c r="S26" s="884"/>
      <c r="U26" s="896">
        <v>45070</v>
      </c>
      <c r="V26" s="896"/>
      <c r="W26" s="884"/>
      <c r="X26" s="884"/>
      <c r="AA26" s="896">
        <v>45101</v>
      </c>
      <c r="AB26" s="896"/>
      <c r="AC26" s="884"/>
      <c r="AD26" s="884"/>
      <c r="AF26" s="896">
        <v>45131</v>
      </c>
      <c r="AG26" s="896"/>
      <c r="AH26" s="884"/>
      <c r="AI26" s="884"/>
      <c r="AK26" s="896">
        <v>45162</v>
      </c>
      <c r="AL26" s="897" t="s">
        <v>494</v>
      </c>
      <c r="AM26" s="612">
        <v>60</v>
      </c>
      <c r="AN26" s="612">
        <v>3070</v>
      </c>
      <c r="AP26" s="896">
        <v>45193</v>
      </c>
      <c r="AQ26" s="896"/>
      <c r="AR26" s="884"/>
      <c r="AS26" s="884"/>
      <c r="AU26" s="896">
        <v>45223</v>
      </c>
      <c r="AV26" s="897" t="s">
        <v>494</v>
      </c>
      <c r="AW26" s="612">
        <v>60</v>
      </c>
      <c r="AX26" s="612">
        <v>6540</v>
      </c>
      <c r="AZ26" s="896">
        <v>45253</v>
      </c>
      <c r="BA26" s="896" t="s">
        <v>494</v>
      </c>
      <c r="BB26" s="884">
        <v>60</v>
      </c>
      <c r="BC26" s="884">
        <v>6540</v>
      </c>
      <c r="BE26" s="896">
        <v>45284</v>
      </c>
      <c r="BF26" s="896"/>
      <c r="BG26" s="884"/>
      <c r="BH26" s="884"/>
      <c r="BI26" s="1292"/>
      <c r="BK26" s="896">
        <v>45315</v>
      </c>
      <c r="BL26" s="896"/>
      <c r="BM26" s="884"/>
      <c r="BN26" s="884"/>
      <c r="BP26" s="896">
        <v>45346</v>
      </c>
      <c r="BQ26" s="896"/>
      <c r="BR26" s="884"/>
      <c r="BS26" s="884"/>
      <c r="BU26" s="896">
        <v>45375</v>
      </c>
      <c r="BV26" s="896"/>
      <c r="BW26" s="884"/>
      <c r="BX26" s="884"/>
      <c r="BZ26" s="896">
        <v>45406</v>
      </c>
      <c r="CA26" s="896"/>
      <c r="CB26" s="884"/>
      <c r="CC26" s="884"/>
      <c r="CE26" s="896">
        <v>45436</v>
      </c>
      <c r="CF26" s="896"/>
      <c r="CG26" s="884"/>
      <c r="CH26" s="884"/>
      <c r="CJ26" s="896">
        <v>45467</v>
      </c>
      <c r="CK26" s="896"/>
      <c r="CL26" s="884"/>
      <c r="CM26" s="884"/>
      <c r="CO26" s="896">
        <v>45497</v>
      </c>
      <c r="CP26" s="896"/>
      <c r="CQ26" s="884"/>
      <c r="CR26" s="884"/>
      <c r="CT26" s="896">
        <v>45528</v>
      </c>
      <c r="CU26" s="896"/>
      <c r="CV26" s="884"/>
      <c r="CW26" s="884"/>
      <c r="CY26" s="896">
        <v>45559</v>
      </c>
      <c r="CZ26" s="896"/>
      <c r="DA26" s="884"/>
      <c r="DB26" s="884"/>
      <c r="DD26" s="896">
        <v>45589</v>
      </c>
      <c r="DE26" s="896"/>
      <c r="DF26" s="884"/>
      <c r="DG26" s="884"/>
      <c r="DI26" s="896">
        <v>45620</v>
      </c>
      <c r="DJ26" s="896"/>
      <c r="DK26" s="884"/>
      <c r="DL26" s="884"/>
      <c r="DN26" s="896">
        <v>45650</v>
      </c>
      <c r="DO26" s="896"/>
      <c r="DP26" s="884"/>
      <c r="DQ26" s="884"/>
    </row>
    <row r="27" spans="1:121">
      <c r="A27" s="896">
        <v>44951</v>
      </c>
      <c r="B27" s="896"/>
      <c r="C27" s="884"/>
      <c r="D27" s="884"/>
      <c r="F27" s="896">
        <v>44982</v>
      </c>
      <c r="G27" s="896"/>
      <c r="H27" s="884"/>
      <c r="I27" s="884"/>
      <c r="K27" s="896">
        <v>45010</v>
      </c>
      <c r="L27" s="896"/>
      <c r="M27" s="884"/>
      <c r="N27" s="884"/>
      <c r="P27" s="896">
        <v>45041</v>
      </c>
      <c r="Q27" s="896"/>
      <c r="R27" s="884"/>
      <c r="S27" s="884"/>
      <c r="U27" s="896">
        <v>45071</v>
      </c>
      <c r="V27" s="896"/>
      <c r="W27" s="884"/>
      <c r="X27" s="884"/>
      <c r="AA27" s="896">
        <v>45102</v>
      </c>
      <c r="AB27" s="896"/>
      <c r="AC27" s="884"/>
      <c r="AD27" s="884"/>
      <c r="AF27" s="896">
        <v>45132</v>
      </c>
      <c r="AG27" s="896"/>
      <c r="AH27" s="884"/>
      <c r="AI27" s="884"/>
      <c r="AK27" s="896">
        <v>45163</v>
      </c>
      <c r="AL27" s="896"/>
      <c r="AM27" s="884"/>
      <c r="AN27" s="884"/>
      <c r="AP27" s="896">
        <v>45194</v>
      </c>
      <c r="AQ27" s="896"/>
      <c r="AR27" s="884"/>
      <c r="AS27" s="884"/>
      <c r="AU27" s="896">
        <v>45224</v>
      </c>
      <c r="AV27" s="896"/>
      <c r="AW27" s="884"/>
      <c r="AX27" s="884"/>
      <c r="AZ27" s="896">
        <v>45254</v>
      </c>
      <c r="BA27" s="896"/>
      <c r="BB27" s="884"/>
      <c r="BC27" s="884"/>
      <c r="BE27" s="896">
        <v>45285</v>
      </c>
      <c r="BF27" s="896"/>
      <c r="BG27" s="884"/>
      <c r="BH27" s="884"/>
      <c r="BI27" s="1292"/>
      <c r="BK27" s="896">
        <v>45316</v>
      </c>
      <c r="BL27" s="896"/>
      <c r="BM27" s="884"/>
      <c r="BN27" s="884"/>
      <c r="BP27" s="896">
        <v>45347</v>
      </c>
      <c r="BQ27" s="896"/>
      <c r="BR27" s="884"/>
      <c r="BS27" s="884"/>
      <c r="BU27" s="896">
        <v>45376</v>
      </c>
      <c r="BV27" s="896"/>
      <c r="BW27" s="884"/>
      <c r="BX27" s="884"/>
      <c r="BZ27" s="896">
        <v>45407</v>
      </c>
      <c r="CA27" s="896"/>
      <c r="CB27" s="884"/>
      <c r="CC27" s="884"/>
      <c r="CE27" s="896">
        <v>45437</v>
      </c>
      <c r="CF27" s="896"/>
      <c r="CG27" s="884"/>
      <c r="CH27" s="884"/>
      <c r="CJ27" s="896">
        <v>45468</v>
      </c>
      <c r="CK27" s="896"/>
      <c r="CL27" s="884"/>
      <c r="CM27" s="884"/>
      <c r="CO27" s="896">
        <v>45498</v>
      </c>
      <c r="CP27" s="896"/>
      <c r="CQ27" s="884"/>
      <c r="CR27" s="884"/>
      <c r="CT27" s="896">
        <v>45529</v>
      </c>
      <c r="CU27" s="896"/>
      <c r="CV27" s="884"/>
      <c r="CW27" s="884"/>
      <c r="CY27" s="896">
        <v>45560</v>
      </c>
      <c r="CZ27" s="896"/>
      <c r="DA27" s="884"/>
      <c r="DB27" s="884"/>
      <c r="DD27" s="896">
        <v>45590</v>
      </c>
      <c r="DE27" s="896"/>
      <c r="DF27" s="884"/>
      <c r="DG27" s="884"/>
      <c r="DI27" s="896">
        <v>45621</v>
      </c>
      <c r="DJ27" s="896"/>
      <c r="DK27" s="884"/>
      <c r="DL27" s="884"/>
      <c r="DN27" s="896">
        <v>45651</v>
      </c>
      <c r="DO27" s="896"/>
      <c r="DP27" s="884"/>
      <c r="DQ27" s="884"/>
    </row>
    <row r="28" spans="1:121">
      <c r="A28" s="896">
        <v>44952</v>
      </c>
      <c r="B28" s="897"/>
      <c r="C28" s="612"/>
      <c r="D28" s="612"/>
      <c r="F28" s="896">
        <v>44983</v>
      </c>
      <c r="G28" s="897"/>
      <c r="H28" s="612"/>
      <c r="I28" s="612"/>
      <c r="K28" s="896">
        <v>45011</v>
      </c>
      <c r="L28" s="897"/>
      <c r="M28" s="612"/>
      <c r="N28" s="612"/>
      <c r="P28" s="896">
        <v>45042</v>
      </c>
      <c r="Q28" s="897"/>
      <c r="R28" s="612"/>
      <c r="S28" s="612"/>
      <c r="U28" s="896">
        <v>45072</v>
      </c>
      <c r="V28" s="897"/>
      <c r="W28" s="612"/>
      <c r="X28" s="612"/>
      <c r="AA28" s="896">
        <v>45103</v>
      </c>
      <c r="AB28" s="897"/>
      <c r="AC28" s="1192"/>
      <c r="AD28" s="612"/>
      <c r="AF28" s="896">
        <v>45133</v>
      </c>
      <c r="AG28" s="897"/>
      <c r="AH28" s="612"/>
      <c r="AI28" s="612"/>
      <c r="AK28" s="896">
        <v>45164</v>
      </c>
      <c r="AL28" s="897"/>
      <c r="AM28" s="612"/>
      <c r="AN28" s="612"/>
      <c r="AP28" s="896">
        <v>45195</v>
      </c>
      <c r="AQ28" s="897" t="s">
        <v>494</v>
      </c>
      <c r="AR28" s="612">
        <v>60</v>
      </c>
      <c r="AS28" s="612">
        <v>3079</v>
      </c>
      <c r="AU28" s="896">
        <v>45225</v>
      </c>
      <c r="AV28" s="896"/>
      <c r="AW28" s="884"/>
      <c r="AX28" s="884"/>
      <c r="AZ28" s="896">
        <v>45255</v>
      </c>
      <c r="BA28" s="896"/>
      <c r="BB28" s="884"/>
      <c r="BC28" s="884"/>
      <c r="BE28" s="896">
        <v>45286</v>
      </c>
      <c r="BF28" s="896"/>
      <c r="BG28" s="884"/>
      <c r="BH28" s="884"/>
      <c r="BI28" s="1292"/>
      <c r="BK28" s="896">
        <v>45317</v>
      </c>
      <c r="BL28" s="896"/>
      <c r="BM28" s="884"/>
      <c r="BN28" s="884"/>
      <c r="BP28" s="896">
        <v>45348</v>
      </c>
      <c r="BQ28" s="896"/>
      <c r="BR28" s="884"/>
      <c r="BS28" s="884"/>
      <c r="BU28" s="896">
        <v>45377</v>
      </c>
      <c r="BV28" s="896"/>
      <c r="BW28" s="884"/>
      <c r="BX28" s="884"/>
      <c r="BZ28" s="896">
        <v>45408</v>
      </c>
      <c r="CA28" s="896"/>
      <c r="CB28" s="884"/>
      <c r="CC28" s="884"/>
      <c r="CE28" s="896">
        <v>45438</v>
      </c>
      <c r="CF28" s="896"/>
      <c r="CG28" s="884"/>
      <c r="CH28" s="884"/>
      <c r="CJ28" s="896">
        <v>45469</v>
      </c>
      <c r="CK28" s="896"/>
      <c r="CL28" s="884"/>
      <c r="CM28" s="884"/>
      <c r="CO28" s="896">
        <v>45499</v>
      </c>
      <c r="CP28" s="896"/>
      <c r="CQ28" s="884"/>
      <c r="CR28" s="884"/>
      <c r="CT28" s="896">
        <v>45530</v>
      </c>
      <c r="CU28" s="896"/>
      <c r="CV28" s="884"/>
      <c r="CW28" s="884"/>
      <c r="CY28" s="896">
        <v>45561</v>
      </c>
      <c r="CZ28" s="896"/>
      <c r="DA28" s="884"/>
      <c r="DB28" s="884"/>
      <c r="DD28" s="896">
        <v>45591</v>
      </c>
      <c r="DE28" s="896"/>
      <c r="DF28" s="884"/>
      <c r="DG28" s="884"/>
      <c r="DI28" s="896">
        <v>45622</v>
      </c>
      <c r="DJ28" s="896"/>
      <c r="DK28" s="884"/>
      <c r="DL28" s="884"/>
      <c r="DN28" s="896">
        <v>45652</v>
      </c>
      <c r="DO28" s="896"/>
      <c r="DP28" s="884"/>
      <c r="DQ28" s="884"/>
    </row>
    <row r="29" spans="1:121">
      <c r="A29" s="896">
        <v>44953</v>
      </c>
      <c r="B29" s="896"/>
      <c r="C29" s="884"/>
      <c r="D29" s="884"/>
      <c r="F29" s="896">
        <v>44984</v>
      </c>
      <c r="G29" s="896"/>
      <c r="H29" s="884"/>
      <c r="I29" s="884"/>
      <c r="K29" s="896">
        <v>45012</v>
      </c>
      <c r="L29" s="896"/>
      <c r="M29" s="884"/>
      <c r="N29" s="884"/>
      <c r="P29" s="896">
        <v>45043</v>
      </c>
      <c r="Q29" s="896"/>
      <c r="R29" s="884"/>
      <c r="S29" s="884"/>
      <c r="U29" s="896">
        <v>45073</v>
      </c>
      <c r="V29" s="896"/>
      <c r="W29" s="884"/>
      <c r="X29" s="884"/>
      <c r="AA29" s="896">
        <v>45104</v>
      </c>
      <c r="AB29" s="896"/>
      <c r="AC29" s="884"/>
      <c r="AD29" s="884"/>
      <c r="AF29" s="896">
        <v>45134</v>
      </c>
      <c r="AG29" s="896"/>
      <c r="AH29" s="884"/>
      <c r="AI29" s="884"/>
      <c r="AK29" s="896">
        <v>45165</v>
      </c>
      <c r="AL29" s="896"/>
      <c r="AM29" s="884"/>
      <c r="AN29" s="884"/>
      <c r="AP29" s="896">
        <v>45196</v>
      </c>
      <c r="AQ29" s="896"/>
      <c r="AR29" s="884"/>
      <c r="AS29" s="884"/>
      <c r="AU29" s="896">
        <v>45226</v>
      </c>
      <c r="AV29" s="896"/>
      <c r="AW29" s="884"/>
      <c r="AX29" s="884"/>
      <c r="AZ29" s="896">
        <v>45256</v>
      </c>
      <c r="BA29" s="896"/>
      <c r="BB29" s="884"/>
      <c r="BC29" s="884"/>
      <c r="BE29" s="896">
        <v>45287</v>
      </c>
      <c r="BF29" s="896" t="s">
        <v>494</v>
      </c>
      <c r="BG29" s="884">
        <v>60</v>
      </c>
      <c r="BH29" s="884">
        <v>1107</v>
      </c>
      <c r="BI29" s="1292"/>
      <c r="BK29" s="896">
        <v>45318</v>
      </c>
      <c r="BL29" s="896"/>
      <c r="BM29" s="884"/>
      <c r="BN29" s="884"/>
      <c r="BP29" s="896">
        <v>45349</v>
      </c>
      <c r="BQ29" s="896"/>
      <c r="BR29" s="884"/>
      <c r="BS29" s="884"/>
      <c r="BU29" s="896">
        <v>45378</v>
      </c>
      <c r="BV29" s="896"/>
      <c r="BW29" s="884"/>
      <c r="BX29" s="884"/>
      <c r="BZ29" s="896">
        <v>45409</v>
      </c>
      <c r="CA29" s="896"/>
      <c r="CB29" s="884"/>
      <c r="CC29" s="884"/>
      <c r="CE29" s="896">
        <v>45439</v>
      </c>
      <c r="CF29" s="896"/>
      <c r="CG29" s="884"/>
      <c r="CH29" s="884"/>
      <c r="CJ29" s="896">
        <v>45470</v>
      </c>
      <c r="CK29" s="896"/>
      <c r="CL29" s="884"/>
      <c r="CM29" s="884"/>
      <c r="CO29" s="896">
        <v>45500</v>
      </c>
      <c r="CP29" s="896"/>
      <c r="CQ29" s="884"/>
      <c r="CR29" s="884"/>
      <c r="CT29" s="896">
        <v>45531</v>
      </c>
      <c r="CU29" s="896"/>
      <c r="CV29" s="884"/>
      <c r="CW29" s="884"/>
      <c r="CY29" s="896">
        <v>45562</v>
      </c>
      <c r="CZ29" s="896"/>
      <c r="DA29" s="884"/>
      <c r="DB29" s="884"/>
      <c r="DD29" s="896">
        <v>45592</v>
      </c>
      <c r="DE29" s="896"/>
      <c r="DF29" s="884"/>
      <c r="DG29" s="884"/>
      <c r="DI29" s="896">
        <v>45623</v>
      </c>
      <c r="DJ29" s="896"/>
      <c r="DK29" s="884"/>
      <c r="DL29" s="884"/>
      <c r="DN29" s="896">
        <v>45653</v>
      </c>
      <c r="DO29" s="896"/>
      <c r="DP29" s="884"/>
      <c r="DQ29" s="884"/>
    </row>
    <row r="30" spans="1:121">
      <c r="A30" s="896">
        <v>44954</v>
      </c>
      <c r="B30" s="896"/>
      <c r="C30" s="884"/>
      <c r="D30" s="884"/>
      <c r="F30" s="896">
        <v>44985</v>
      </c>
      <c r="G30" s="896"/>
      <c r="H30" s="884"/>
      <c r="I30" s="884"/>
      <c r="K30" s="896">
        <v>45013</v>
      </c>
      <c r="L30" s="896"/>
      <c r="M30" s="884"/>
      <c r="N30" s="884"/>
      <c r="P30" s="896">
        <v>45044</v>
      </c>
      <c r="Q30" s="896"/>
      <c r="R30" s="884"/>
      <c r="S30" s="884"/>
      <c r="U30" s="896">
        <v>45074</v>
      </c>
      <c r="V30" s="896"/>
      <c r="W30" s="884"/>
      <c r="X30" s="884"/>
      <c r="AA30" s="896">
        <v>45105</v>
      </c>
      <c r="AB30" s="896"/>
      <c r="AC30" s="884"/>
      <c r="AD30" s="884"/>
      <c r="AF30" s="896">
        <v>45135</v>
      </c>
      <c r="AG30" s="896"/>
      <c r="AH30" s="884"/>
      <c r="AI30" s="884"/>
      <c r="AK30" s="896">
        <v>45166</v>
      </c>
      <c r="AL30" s="896"/>
      <c r="AM30" s="884"/>
      <c r="AN30" s="884"/>
      <c r="AP30" s="896">
        <v>45197</v>
      </c>
      <c r="AQ30" s="896"/>
      <c r="AR30" s="884"/>
      <c r="AS30" s="884"/>
      <c r="AU30" s="896">
        <v>45227</v>
      </c>
      <c r="AV30" s="896"/>
      <c r="AW30" s="884"/>
      <c r="AX30" s="884"/>
      <c r="AZ30" s="896">
        <v>45257</v>
      </c>
      <c r="BA30" s="896"/>
      <c r="BB30" s="884"/>
      <c r="BC30" s="884"/>
      <c r="BE30" s="896">
        <v>45288</v>
      </c>
      <c r="BF30" s="896"/>
      <c r="BG30" s="884"/>
      <c r="BH30" s="884"/>
      <c r="BI30" s="1292"/>
      <c r="BK30" s="896">
        <v>45319</v>
      </c>
      <c r="BL30" s="896"/>
      <c r="BM30" s="884"/>
      <c r="BN30" s="884"/>
      <c r="BP30" s="896">
        <v>45350</v>
      </c>
      <c r="BQ30" s="896"/>
      <c r="BR30" s="884"/>
      <c r="BS30" s="884"/>
      <c r="BU30" s="896">
        <v>45379</v>
      </c>
      <c r="BV30" s="896"/>
      <c r="BW30" s="884"/>
      <c r="BX30" s="884"/>
      <c r="BZ30" s="896">
        <v>45410</v>
      </c>
      <c r="CA30" s="896"/>
      <c r="CB30" s="884"/>
      <c r="CC30" s="884"/>
      <c r="CE30" s="896">
        <v>45440</v>
      </c>
      <c r="CF30" s="896"/>
      <c r="CG30" s="884"/>
      <c r="CH30" s="884"/>
      <c r="CJ30" s="896">
        <v>45471</v>
      </c>
      <c r="CK30" s="896"/>
      <c r="CL30" s="884"/>
      <c r="CM30" s="884"/>
      <c r="CO30" s="896">
        <v>45501</v>
      </c>
      <c r="CP30" s="896"/>
      <c r="CQ30" s="884"/>
      <c r="CR30" s="884"/>
      <c r="CT30" s="896">
        <v>45532</v>
      </c>
      <c r="CU30" s="896"/>
      <c r="CV30" s="884"/>
      <c r="CW30" s="884"/>
      <c r="CY30" s="896">
        <v>45563</v>
      </c>
      <c r="CZ30" s="896"/>
      <c r="DA30" s="884"/>
      <c r="DB30" s="884"/>
      <c r="DD30" s="896">
        <v>45593</v>
      </c>
      <c r="DE30" s="896"/>
      <c r="DF30" s="884"/>
      <c r="DG30" s="884"/>
      <c r="DI30" s="896">
        <v>45624</v>
      </c>
      <c r="DJ30" s="896"/>
      <c r="DK30" s="884"/>
      <c r="DL30" s="884"/>
      <c r="DN30" s="896">
        <v>45654</v>
      </c>
      <c r="DO30" s="896"/>
      <c r="DP30" s="884"/>
      <c r="DQ30" s="884"/>
    </row>
    <row r="31" spans="1:121">
      <c r="A31" s="896">
        <v>44955</v>
      </c>
      <c r="B31" s="896"/>
      <c r="C31" s="884"/>
      <c r="D31" s="884"/>
      <c r="F31" s="896"/>
      <c r="G31" s="896"/>
      <c r="H31" s="884"/>
      <c r="I31" s="884"/>
      <c r="K31" s="896">
        <v>45014</v>
      </c>
      <c r="L31" s="896"/>
      <c r="M31" s="884"/>
      <c r="N31" s="884"/>
      <c r="P31" s="896">
        <v>45045</v>
      </c>
      <c r="Q31" s="896"/>
      <c r="R31" s="884"/>
      <c r="S31" s="884"/>
      <c r="U31" s="896">
        <v>45075</v>
      </c>
      <c r="V31" s="896"/>
      <c r="W31" s="884"/>
      <c r="X31" s="884"/>
      <c r="AA31" s="896">
        <v>45106</v>
      </c>
      <c r="AB31" s="896"/>
      <c r="AC31" s="884"/>
      <c r="AD31" s="884"/>
      <c r="AF31" s="896">
        <v>45136</v>
      </c>
      <c r="AG31" s="896"/>
      <c r="AH31" s="884"/>
      <c r="AI31" s="884"/>
      <c r="AK31" s="896">
        <v>45167</v>
      </c>
      <c r="AL31" s="896"/>
      <c r="AM31" s="884"/>
      <c r="AN31" s="884"/>
      <c r="AP31" s="896">
        <v>45198</v>
      </c>
      <c r="AQ31" s="896"/>
      <c r="AR31" s="884"/>
      <c r="AS31" s="884"/>
      <c r="AU31" s="896">
        <v>45228</v>
      </c>
      <c r="AV31" s="898" t="s">
        <v>494</v>
      </c>
      <c r="AW31" s="900">
        <v>60</v>
      </c>
      <c r="AX31" s="900">
        <v>6540</v>
      </c>
      <c r="AZ31" s="896">
        <v>45258</v>
      </c>
      <c r="BA31" s="896"/>
      <c r="BB31" s="884"/>
      <c r="BC31" s="884"/>
      <c r="BE31" s="896">
        <v>45289</v>
      </c>
      <c r="BF31" s="896"/>
      <c r="BG31" s="884"/>
      <c r="BH31" s="884"/>
      <c r="BI31" s="1292"/>
      <c r="BK31" s="896">
        <v>45320</v>
      </c>
      <c r="BL31" s="896"/>
      <c r="BM31" s="884"/>
      <c r="BN31" s="884"/>
      <c r="BP31" s="896">
        <v>45351</v>
      </c>
      <c r="BQ31" s="896"/>
      <c r="BR31" s="884"/>
      <c r="BS31" s="884"/>
      <c r="BU31" s="896">
        <v>45380</v>
      </c>
      <c r="BV31" s="896"/>
      <c r="BW31" s="884"/>
      <c r="BX31" s="884"/>
      <c r="BZ31" s="896">
        <v>45411</v>
      </c>
      <c r="CA31" s="896"/>
      <c r="CB31" s="884"/>
      <c r="CC31" s="884"/>
      <c r="CE31" s="896">
        <v>45441</v>
      </c>
      <c r="CF31" s="896"/>
      <c r="CG31" s="884"/>
      <c r="CH31" s="884"/>
      <c r="CJ31" s="896">
        <v>45472</v>
      </c>
      <c r="CK31" s="896"/>
      <c r="CL31" s="884"/>
      <c r="CM31" s="884"/>
      <c r="CO31" s="896">
        <v>45502</v>
      </c>
      <c r="CP31" s="896"/>
      <c r="CQ31" s="884"/>
      <c r="CR31" s="884"/>
      <c r="CT31" s="896">
        <v>45533</v>
      </c>
      <c r="CU31" s="896"/>
      <c r="CV31" s="884"/>
      <c r="CW31" s="884"/>
      <c r="CY31" s="896">
        <v>45564</v>
      </c>
      <c r="CZ31" s="896"/>
      <c r="DA31" s="884"/>
      <c r="DB31" s="884"/>
      <c r="DD31" s="896">
        <v>45594</v>
      </c>
      <c r="DE31" s="896"/>
      <c r="DF31" s="884"/>
      <c r="DG31" s="884"/>
      <c r="DI31" s="896">
        <v>45625</v>
      </c>
      <c r="DJ31" s="896"/>
      <c r="DK31" s="884"/>
      <c r="DL31" s="884"/>
      <c r="DN31" s="896">
        <v>45655</v>
      </c>
      <c r="DO31" s="896"/>
      <c r="DP31" s="884"/>
      <c r="DQ31" s="884"/>
    </row>
    <row r="32" spans="1:121">
      <c r="A32" s="896">
        <v>44956</v>
      </c>
      <c r="B32" s="896"/>
      <c r="C32" s="884"/>
      <c r="D32" s="884"/>
      <c r="F32" s="896"/>
      <c r="G32" s="896"/>
      <c r="H32" s="884"/>
      <c r="I32" s="884"/>
      <c r="K32" s="896">
        <v>45015</v>
      </c>
      <c r="L32" s="896"/>
      <c r="M32" s="884"/>
      <c r="N32" s="884"/>
      <c r="P32" s="896">
        <v>45046</v>
      </c>
      <c r="Q32" s="896"/>
      <c r="R32" s="884"/>
      <c r="S32" s="884"/>
      <c r="U32" s="896">
        <v>45076</v>
      </c>
      <c r="V32" s="896"/>
      <c r="W32" s="884"/>
      <c r="X32" s="884"/>
      <c r="AA32" s="896">
        <v>45107</v>
      </c>
      <c r="AB32" s="896"/>
      <c r="AC32" s="884"/>
      <c r="AD32" s="884"/>
      <c r="AF32" s="896">
        <v>45137</v>
      </c>
      <c r="AG32" s="896"/>
      <c r="AH32" s="884"/>
      <c r="AI32" s="884"/>
      <c r="AK32" s="896">
        <v>45168</v>
      </c>
      <c r="AL32" s="897" t="s">
        <v>494</v>
      </c>
      <c r="AM32" s="612">
        <v>60</v>
      </c>
      <c r="AN32" s="612">
        <v>3071</v>
      </c>
      <c r="AP32" s="896">
        <v>45199</v>
      </c>
      <c r="AQ32" s="896"/>
      <c r="AR32" s="884"/>
      <c r="AS32" s="884"/>
      <c r="AU32" s="896">
        <v>45229</v>
      </c>
      <c r="AV32" s="896"/>
      <c r="AW32" s="884"/>
      <c r="AX32" s="884"/>
      <c r="AZ32" s="896">
        <v>45259</v>
      </c>
      <c r="BA32" s="896" t="s">
        <v>494</v>
      </c>
      <c r="BB32" s="884">
        <v>60</v>
      </c>
      <c r="BC32" s="884">
        <v>6540</v>
      </c>
      <c r="BE32" s="896">
        <v>45290</v>
      </c>
      <c r="BF32" s="896"/>
      <c r="BG32" s="884"/>
      <c r="BH32" s="884"/>
      <c r="BI32" s="1292"/>
      <c r="BK32" s="896">
        <v>45321</v>
      </c>
      <c r="BL32" s="896"/>
      <c r="BM32" s="884"/>
      <c r="BN32" s="884"/>
      <c r="BP32" s="896"/>
      <c r="BQ32" s="896"/>
      <c r="BR32" s="884"/>
      <c r="BS32" s="884"/>
      <c r="BU32" s="896">
        <v>45381</v>
      </c>
      <c r="BV32" s="896"/>
      <c r="BW32" s="884"/>
      <c r="BX32" s="884"/>
      <c r="BZ32" s="896">
        <v>45412</v>
      </c>
      <c r="CA32" s="896"/>
      <c r="CB32" s="884"/>
      <c r="CC32" s="884"/>
      <c r="CE32" s="896">
        <v>45442</v>
      </c>
      <c r="CF32" s="896"/>
      <c r="CG32" s="884"/>
      <c r="CH32" s="884"/>
      <c r="CJ32" s="896">
        <v>45473</v>
      </c>
      <c r="CK32" s="896"/>
      <c r="CL32" s="884"/>
      <c r="CM32" s="884"/>
      <c r="CO32" s="896">
        <v>45503</v>
      </c>
      <c r="CP32" s="896"/>
      <c r="CQ32" s="884"/>
      <c r="CR32" s="884"/>
      <c r="CT32" s="896">
        <v>45534</v>
      </c>
      <c r="CU32" s="896"/>
      <c r="CV32" s="884"/>
      <c r="CW32" s="884"/>
      <c r="CY32" s="896">
        <v>45565</v>
      </c>
      <c r="CZ32" s="896"/>
      <c r="DA32" s="884"/>
      <c r="DB32" s="884"/>
      <c r="DD32" s="896">
        <v>45595</v>
      </c>
      <c r="DE32" s="896"/>
      <c r="DF32" s="884"/>
      <c r="DG32" s="884"/>
      <c r="DI32" s="896">
        <v>45626</v>
      </c>
      <c r="DJ32" s="896"/>
      <c r="DK32" s="884"/>
      <c r="DL32" s="884"/>
      <c r="DN32" s="896">
        <v>45656</v>
      </c>
      <c r="DO32" s="896"/>
      <c r="DP32" s="884"/>
      <c r="DQ32" s="884"/>
    </row>
    <row r="33" spans="1:121">
      <c r="A33" s="896">
        <v>44957</v>
      </c>
      <c r="B33" s="896"/>
      <c r="C33" s="884"/>
      <c r="D33" s="884"/>
      <c r="F33" s="896"/>
      <c r="G33" s="896"/>
      <c r="H33" s="884"/>
      <c r="I33" s="884"/>
      <c r="K33" s="896">
        <v>45016</v>
      </c>
      <c r="L33" s="896"/>
      <c r="M33" s="884"/>
      <c r="N33" s="884"/>
      <c r="P33" s="896"/>
      <c r="Q33" s="896"/>
      <c r="R33" s="884"/>
      <c r="S33" s="884"/>
      <c r="U33" s="896">
        <v>45077</v>
      </c>
      <c r="V33" s="896"/>
      <c r="W33" s="884"/>
      <c r="X33" s="884"/>
      <c r="AA33" s="896"/>
      <c r="AB33" s="896"/>
      <c r="AC33" s="884"/>
      <c r="AD33" s="884"/>
      <c r="AF33" s="896">
        <v>45138</v>
      </c>
      <c r="AG33" s="896"/>
      <c r="AH33" s="884"/>
      <c r="AI33" s="884"/>
      <c r="AK33" s="896">
        <v>45169</v>
      </c>
      <c r="AL33" s="896"/>
      <c r="AM33" s="884"/>
      <c r="AN33" s="612"/>
      <c r="AP33" s="896"/>
      <c r="AQ33" s="896"/>
      <c r="AR33" s="884"/>
      <c r="AS33" s="884"/>
      <c r="AU33" s="896">
        <v>45230</v>
      </c>
      <c r="AV33" s="896"/>
      <c r="AW33" s="884"/>
      <c r="AX33" s="884"/>
      <c r="AZ33" s="896">
        <v>45260</v>
      </c>
      <c r="BA33" s="896"/>
      <c r="BB33" s="884"/>
      <c r="BC33" s="884"/>
      <c r="BE33" s="896">
        <v>45291</v>
      </c>
      <c r="BF33" s="896"/>
      <c r="BG33" s="884"/>
      <c r="BH33" s="884"/>
      <c r="BI33" s="1292"/>
      <c r="BK33" s="896">
        <v>45322</v>
      </c>
      <c r="BL33" s="896"/>
      <c r="BM33" s="884"/>
      <c r="BN33" s="884"/>
      <c r="BP33" s="896"/>
      <c r="BQ33" s="896"/>
      <c r="BR33" s="884"/>
      <c r="BS33" s="884"/>
      <c r="BU33" s="896">
        <v>45382</v>
      </c>
      <c r="BV33" s="896"/>
      <c r="BW33" s="884"/>
      <c r="BX33" s="884"/>
      <c r="BZ33" s="896"/>
      <c r="CA33" s="896"/>
      <c r="CB33" s="884"/>
      <c r="CC33" s="884"/>
      <c r="CE33" s="896">
        <v>45443</v>
      </c>
      <c r="CF33" s="896"/>
      <c r="CG33" s="884"/>
      <c r="CH33" s="884"/>
      <c r="CJ33" s="896"/>
      <c r="CK33" s="896"/>
      <c r="CL33" s="884"/>
      <c r="CM33" s="884"/>
      <c r="CO33" s="896">
        <v>45504</v>
      </c>
      <c r="CP33" s="896"/>
      <c r="CQ33" s="884"/>
      <c r="CR33" s="884"/>
      <c r="CT33" s="896">
        <v>45535</v>
      </c>
      <c r="CU33" s="896"/>
      <c r="CV33" s="884"/>
      <c r="CW33" s="884"/>
      <c r="CY33" s="896"/>
      <c r="CZ33" s="896"/>
      <c r="DA33" s="884"/>
      <c r="DB33" s="884"/>
      <c r="DD33" s="896">
        <v>45596</v>
      </c>
      <c r="DE33" s="896"/>
      <c r="DF33" s="884"/>
      <c r="DG33" s="884"/>
      <c r="DI33" s="896"/>
      <c r="DJ33" s="896"/>
      <c r="DK33" s="884"/>
      <c r="DL33" s="884"/>
      <c r="DN33" s="896">
        <v>45657</v>
      </c>
      <c r="DO33" s="896"/>
      <c r="DP33" s="884"/>
      <c r="DQ33" s="884"/>
    </row>
    <row r="34" spans="1:121">
      <c r="A34" s="896"/>
      <c r="B34" s="896"/>
      <c r="C34" s="884"/>
      <c r="D34" s="884"/>
      <c r="F34" s="896"/>
      <c r="G34" s="896"/>
      <c r="H34" s="884"/>
      <c r="I34" s="884"/>
      <c r="K34" s="896"/>
      <c r="L34" s="896"/>
      <c r="M34" s="884"/>
      <c r="N34" s="884"/>
      <c r="P34" s="896"/>
      <c r="Q34" s="896"/>
      <c r="R34" s="884"/>
      <c r="S34" s="884"/>
      <c r="U34" s="896"/>
      <c r="V34" s="896"/>
      <c r="W34" s="884"/>
      <c r="X34" s="884"/>
      <c r="AA34" s="896"/>
      <c r="AB34" s="896"/>
      <c r="AC34" s="884"/>
      <c r="AD34" s="884"/>
      <c r="AF34" s="896"/>
      <c r="AG34" s="896"/>
      <c r="AH34" s="884"/>
      <c r="AI34" s="884"/>
      <c r="AK34" s="896"/>
      <c r="AL34" s="896"/>
      <c r="AM34" s="884"/>
      <c r="AN34" s="884"/>
      <c r="AP34" s="896"/>
      <c r="AQ34" s="896"/>
      <c r="AR34" s="884"/>
      <c r="AS34" s="884"/>
      <c r="AU34" s="896"/>
      <c r="AV34" s="896"/>
      <c r="AW34" s="884"/>
      <c r="AX34" s="884"/>
      <c r="AZ34" s="896">
        <v>45260</v>
      </c>
      <c r="BA34" s="896"/>
      <c r="BB34" s="884"/>
      <c r="BC34" s="884"/>
      <c r="BE34" s="896"/>
      <c r="BF34" s="896"/>
      <c r="BG34" s="884"/>
      <c r="BH34" s="884"/>
      <c r="BI34" s="1292"/>
      <c r="BK34" s="896"/>
      <c r="BL34" s="896"/>
      <c r="BM34" s="884"/>
      <c r="BN34" s="884"/>
      <c r="BP34" s="896"/>
      <c r="BQ34" s="896"/>
      <c r="BR34" s="884"/>
      <c r="BS34" s="884"/>
      <c r="BU34" s="896"/>
      <c r="BV34" s="896"/>
      <c r="BW34" s="884"/>
      <c r="BX34" s="884"/>
      <c r="BZ34" s="896"/>
      <c r="CA34" s="896"/>
      <c r="CB34" s="884"/>
      <c r="CC34" s="884"/>
      <c r="CE34" s="896"/>
      <c r="CF34" s="896"/>
      <c r="CG34" s="884"/>
      <c r="CH34" s="884"/>
      <c r="CJ34" s="896"/>
      <c r="CK34" s="896"/>
      <c r="CL34" s="884"/>
      <c r="CM34" s="884"/>
      <c r="CO34" s="896"/>
      <c r="CP34" s="896"/>
      <c r="CQ34" s="884"/>
      <c r="CR34" s="884"/>
      <c r="CT34" s="896"/>
      <c r="CU34" s="896"/>
      <c r="CV34" s="884"/>
      <c r="CW34" s="884"/>
      <c r="CY34" s="896"/>
      <c r="CZ34" s="896"/>
      <c r="DA34" s="884"/>
      <c r="DB34" s="884"/>
      <c r="DD34" s="896"/>
      <c r="DE34" s="896"/>
      <c r="DF34" s="884"/>
      <c r="DG34" s="884"/>
      <c r="DI34" s="896"/>
      <c r="DJ34" s="896"/>
      <c r="DK34" s="884"/>
      <c r="DL34" s="884"/>
      <c r="DN34" s="896"/>
      <c r="DO34" s="896"/>
      <c r="DP34" s="884"/>
      <c r="DQ34" s="884"/>
    </row>
    <row r="36" spans="1:121">
      <c r="A36" s="2097" t="s">
        <v>334</v>
      </c>
      <c r="B36" s="2097"/>
      <c r="C36" s="889">
        <f>SUM(C3:C34)</f>
        <v>0</v>
      </c>
      <c r="F36" s="2097" t="s">
        <v>334</v>
      </c>
      <c r="G36" s="2097"/>
      <c r="H36" s="889">
        <f>SUM(H3:H34)</f>
        <v>0</v>
      </c>
      <c r="K36" s="2097" t="s">
        <v>334</v>
      </c>
      <c r="L36" s="2097"/>
      <c r="M36" s="889">
        <f>SUM(M3:M34)</f>
        <v>0</v>
      </c>
      <c r="P36" s="2097" t="s">
        <v>334</v>
      </c>
      <c r="Q36" s="2097"/>
      <c r="R36" s="889">
        <f>SUM(R3:R34)</f>
        <v>0</v>
      </c>
      <c r="U36" s="2097" t="s">
        <v>334</v>
      </c>
      <c r="V36" s="2097"/>
      <c r="W36" s="889">
        <f>SUM(W3:W34)</f>
        <v>0</v>
      </c>
      <c r="AA36" s="2097" t="s">
        <v>334</v>
      </c>
      <c r="AB36" s="2097"/>
      <c r="AC36" s="889">
        <f>SUM(AC3:AC34)</f>
        <v>240</v>
      </c>
      <c r="AF36" s="2097" t="s">
        <v>334</v>
      </c>
      <c r="AG36" s="2097"/>
      <c r="AH36" s="889">
        <f>SUM(AH3:AH34)</f>
        <v>0</v>
      </c>
      <c r="AK36" s="2097" t="s">
        <v>334</v>
      </c>
      <c r="AL36" s="2097"/>
      <c r="AM36" s="889">
        <f>SUM(AM3:AM34)</f>
        <v>240</v>
      </c>
      <c r="AP36" s="2097" t="s">
        <v>334</v>
      </c>
      <c r="AQ36" s="2097"/>
      <c r="AR36" s="889">
        <f>SUM(AR3:AR34)</f>
        <v>240</v>
      </c>
      <c r="AU36" s="2097" t="s">
        <v>334</v>
      </c>
      <c r="AV36" s="2097"/>
      <c r="AW36" s="889">
        <f>SUM(AW3:AW34)</f>
        <v>330</v>
      </c>
      <c r="AZ36" s="2097" t="s">
        <v>334</v>
      </c>
      <c r="BA36" s="2097"/>
      <c r="BB36" s="889">
        <f>SUM(BB3:BB34)</f>
        <v>300</v>
      </c>
      <c r="BE36" s="2097" t="s">
        <v>334</v>
      </c>
      <c r="BF36" s="2097"/>
      <c r="BG36" s="889">
        <f>SUM(BG3:BG34)</f>
        <v>285</v>
      </c>
      <c r="BK36" s="2097" t="s">
        <v>334</v>
      </c>
      <c r="BL36" s="2097"/>
      <c r="BM36" s="889">
        <f>SUM(BM3:BM34)</f>
        <v>0</v>
      </c>
      <c r="BP36" s="2097" t="s">
        <v>334</v>
      </c>
      <c r="BQ36" s="2097"/>
      <c r="BR36" s="889">
        <f>SUM(BR3:BR34)</f>
        <v>0</v>
      </c>
      <c r="BU36" s="2097" t="s">
        <v>334</v>
      </c>
      <c r="BV36" s="2097"/>
      <c r="BW36" s="889">
        <f>SUM(BW3:BW34)</f>
        <v>0</v>
      </c>
      <c r="BZ36" s="2097" t="s">
        <v>334</v>
      </c>
      <c r="CA36" s="2097"/>
      <c r="CB36" s="889">
        <f>SUM(CB3:CB34)</f>
        <v>0</v>
      </c>
      <c r="CE36" s="2097" t="s">
        <v>334</v>
      </c>
      <c r="CF36" s="2097"/>
      <c r="CG36" s="889">
        <f>SUM(CG3:CG34)</f>
        <v>0</v>
      </c>
      <c r="CJ36" s="2097" t="s">
        <v>334</v>
      </c>
      <c r="CK36" s="2097"/>
      <c r="CL36" s="889">
        <f>SUM(CL3:CL34)</f>
        <v>0</v>
      </c>
      <c r="CO36" s="2097" t="s">
        <v>334</v>
      </c>
      <c r="CP36" s="2097"/>
      <c r="CQ36" s="889">
        <f>SUM(CQ3:CQ34)</f>
        <v>0</v>
      </c>
      <c r="CT36" s="2097" t="s">
        <v>334</v>
      </c>
      <c r="CU36" s="2097"/>
      <c r="CV36" s="889">
        <f>SUM(CV3:CV34)</f>
        <v>0</v>
      </c>
      <c r="CY36" s="2097" t="s">
        <v>334</v>
      </c>
      <c r="CZ36" s="2097"/>
      <c r="DA36" s="889">
        <f>SUM(DA3:DA34)</f>
        <v>0</v>
      </c>
      <c r="DD36" s="2097" t="s">
        <v>334</v>
      </c>
      <c r="DE36" s="2097"/>
      <c r="DF36" s="889">
        <f>SUM(DF3:DF34)</f>
        <v>0</v>
      </c>
      <c r="DI36" s="2097" t="s">
        <v>334</v>
      </c>
      <c r="DJ36" s="2097"/>
      <c r="DK36" s="889">
        <f>SUM(DK3:DK34)</f>
        <v>0</v>
      </c>
      <c r="DN36" s="2097" t="s">
        <v>334</v>
      </c>
      <c r="DO36" s="2097"/>
      <c r="DP36" s="889">
        <f>SUM(DP3:DP34)</f>
        <v>0</v>
      </c>
    </row>
    <row r="37" spans="1:121">
      <c r="A37" s="2097" t="s">
        <v>891</v>
      </c>
      <c r="B37" s="2097"/>
      <c r="C37" s="889"/>
      <c r="F37" s="2097" t="s">
        <v>891</v>
      </c>
      <c r="G37" s="2097"/>
      <c r="H37" s="889"/>
      <c r="K37" s="2097" t="s">
        <v>891</v>
      </c>
      <c r="L37" s="2097"/>
      <c r="M37" s="889"/>
      <c r="P37" s="2097" t="s">
        <v>891</v>
      </c>
      <c r="Q37" s="2097"/>
      <c r="R37" s="889"/>
      <c r="U37" s="2097" t="s">
        <v>891</v>
      </c>
      <c r="V37" s="2097"/>
      <c r="W37" s="889"/>
      <c r="AA37" s="2097" t="s">
        <v>891</v>
      </c>
      <c r="AB37" s="2097"/>
      <c r="AC37" s="889"/>
      <c r="AF37" s="2097" t="s">
        <v>891</v>
      </c>
      <c r="AG37" s="2097"/>
      <c r="AH37" s="889"/>
      <c r="AK37" s="2097" t="s">
        <v>891</v>
      </c>
      <c r="AL37" s="2097"/>
      <c r="AM37" s="889"/>
      <c r="AP37" s="2097" t="s">
        <v>891</v>
      </c>
      <c r="AQ37" s="2097"/>
      <c r="AR37" s="889"/>
      <c r="AU37" s="2097" t="s">
        <v>891</v>
      </c>
      <c r="AV37" s="2097"/>
      <c r="AW37" s="889">
        <f>30+10</f>
        <v>40</v>
      </c>
      <c r="AZ37" s="2097" t="s">
        <v>891</v>
      </c>
      <c r="BA37" s="2097"/>
      <c r="BB37" s="889">
        <f>30+5.5</f>
        <v>35.5</v>
      </c>
      <c r="BE37" s="2097" t="s">
        <v>891</v>
      </c>
      <c r="BF37" s="2097"/>
      <c r="BG37" s="889">
        <v>15</v>
      </c>
      <c r="BK37" s="2097" t="s">
        <v>891</v>
      </c>
      <c r="BL37" s="2097"/>
      <c r="BM37" s="889"/>
      <c r="BP37" s="2097" t="s">
        <v>891</v>
      </c>
      <c r="BQ37" s="2097"/>
      <c r="BR37" s="889"/>
      <c r="BU37" s="2097" t="s">
        <v>891</v>
      </c>
      <c r="BV37" s="2097"/>
      <c r="BW37" s="889"/>
      <c r="BZ37" s="2097" t="s">
        <v>891</v>
      </c>
      <c r="CA37" s="2097"/>
      <c r="CB37" s="889"/>
      <c r="CE37" s="2097" t="s">
        <v>891</v>
      </c>
      <c r="CF37" s="2097"/>
      <c r="CG37" s="889"/>
      <c r="CJ37" s="2097" t="s">
        <v>891</v>
      </c>
      <c r="CK37" s="2097"/>
      <c r="CL37" s="889"/>
      <c r="CO37" s="2097" t="s">
        <v>891</v>
      </c>
      <c r="CP37" s="2097"/>
      <c r="CQ37" s="889"/>
      <c r="CT37" s="2097" t="s">
        <v>891</v>
      </c>
      <c r="CU37" s="2097"/>
      <c r="CV37" s="889"/>
      <c r="CY37" s="2097" t="s">
        <v>891</v>
      </c>
      <c r="CZ37" s="2097"/>
      <c r="DA37" s="889"/>
      <c r="DD37" s="2097" t="s">
        <v>891</v>
      </c>
      <c r="DE37" s="2097"/>
      <c r="DF37" s="889"/>
      <c r="DI37" s="2097" t="s">
        <v>891</v>
      </c>
      <c r="DJ37" s="2097"/>
      <c r="DK37" s="889"/>
      <c r="DN37" s="2097" t="s">
        <v>891</v>
      </c>
      <c r="DO37" s="2097"/>
      <c r="DP37" s="889"/>
    </row>
    <row r="38" spans="1:121">
      <c r="A38" s="2099"/>
      <c r="B38" s="2100"/>
      <c r="C38" s="2101"/>
      <c r="F38" s="2099"/>
      <c r="G38" s="2100"/>
      <c r="H38" s="2101"/>
      <c r="K38" s="2099"/>
      <c r="L38" s="2100"/>
      <c r="M38" s="2101"/>
      <c r="P38" s="2099"/>
      <c r="Q38" s="2100"/>
      <c r="R38" s="2101"/>
      <c r="U38" s="2099"/>
      <c r="V38" s="2100"/>
      <c r="W38" s="2101"/>
      <c r="AA38" s="2099"/>
      <c r="AB38" s="2100"/>
      <c r="AC38" s="2101"/>
      <c r="AF38" s="2099"/>
      <c r="AG38" s="2100"/>
      <c r="AH38" s="2101"/>
      <c r="AK38" s="2099"/>
      <c r="AL38" s="2100"/>
      <c r="AM38" s="2101"/>
      <c r="AP38" s="2099"/>
      <c r="AQ38" s="2100"/>
      <c r="AR38" s="2101"/>
      <c r="AU38" s="2099"/>
      <c r="AV38" s="2100"/>
      <c r="AW38" s="2101"/>
      <c r="AZ38" s="2099"/>
      <c r="BA38" s="2100"/>
      <c r="BB38" s="2101"/>
      <c r="BE38" s="2099"/>
      <c r="BF38" s="2100"/>
      <c r="BG38" s="2101"/>
      <c r="BK38" s="2099"/>
      <c r="BL38" s="2100"/>
      <c r="BM38" s="2101"/>
      <c r="BP38" s="2099"/>
      <c r="BQ38" s="2100"/>
      <c r="BR38" s="2101"/>
      <c r="BU38" s="2099"/>
      <c r="BV38" s="2100"/>
      <c r="BW38" s="2101"/>
      <c r="BZ38" s="2099"/>
      <c r="CA38" s="2100"/>
      <c r="CB38" s="2101"/>
      <c r="CE38" s="2099"/>
      <c r="CF38" s="2100"/>
      <c r="CG38" s="2101"/>
      <c r="CJ38" s="2099"/>
      <c r="CK38" s="2100"/>
      <c r="CL38" s="2101"/>
      <c r="CO38" s="2099"/>
      <c r="CP38" s="2100"/>
      <c r="CQ38" s="2101"/>
      <c r="CT38" s="2099"/>
      <c r="CU38" s="2100"/>
      <c r="CV38" s="2101"/>
      <c r="CY38" s="2099"/>
      <c r="CZ38" s="2100"/>
      <c r="DA38" s="2101"/>
      <c r="DD38" s="2099"/>
      <c r="DE38" s="2100"/>
      <c r="DF38" s="2101"/>
      <c r="DI38" s="2099"/>
      <c r="DJ38" s="2100"/>
      <c r="DK38" s="2101"/>
      <c r="DN38" s="2099"/>
      <c r="DO38" s="2100"/>
      <c r="DP38" s="2101"/>
    </row>
    <row r="39" spans="1:121">
      <c r="A39" s="2097" t="s">
        <v>892</v>
      </c>
      <c r="B39" s="2097"/>
      <c r="C39" s="889">
        <f>C36-C37</f>
        <v>0</v>
      </c>
      <c r="F39" s="2097" t="s">
        <v>892</v>
      </c>
      <c r="G39" s="2097"/>
      <c r="H39" s="889">
        <f>H36-H37</f>
        <v>0</v>
      </c>
      <c r="K39" s="2097" t="s">
        <v>892</v>
      </c>
      <c r="L39" s="2097"/>
      <c r="M39" s="889">
        <f>M36-M37</f>
        <v>0</v>
      </c>
      <c r="P39" s="2097" t="s">
        <v>892</v>
      </c>
      <c r="Q39" s="2097"/>
      <c r="R39" s="889">
        <f>R36-R37</f>
        <v>0</v>
      </c>
      <c r="U39" s="2097" t="s">
        <v>892</v>
      </c>
      <c r="V39" s="2097"/>
      <c r="W39" s="889">
        <f>W36-W37</f>
        <v>0</v>
      </c>
      <c r="AA39" s="2097" t="s">
        <v>892</v>
      </c>
      <c r="AB39" s="2097"/>
      <c r="AC39" s="889">
        <f>AC36-AC37</f>
        <v>240</v>
      </c>
      <c r="AF39" s="2097" t="s">
        <v>892</v>
      </c>
      <c r="AG39" s="2097"/>
      <c r="AH39" s="889">
        <f>AH36-AH37</f>
        <v>0</v>
      </c>
      <c r="AK39" s="2097" t="s">
        <v>892</v>
      </c>
      <c r="AL39" s="2097"/>
      <c r="AM39" s="889">
        <f>AM36-AM37</f>
        <v>240</v>
      </c>
      <c r="AP39" s="2097" t="s">
        <v>892</v>
      </c>
      <c r="AQ39" s="2097"/>
      <c r="AR39" s="889">
        <f>AR36-AR37</f>
        <v>240</v>
      </c>
      <c r="AU39" s="2097" t="s">
        <v>892</v>
      </c>
      <c r="AV39" s="2097"/>
      <c r="AW39" s="889">
        <f>AW36-AW37</f>
        <v>290</v>
      </c>
      <c r="AZ39" s="2097" t="s">
        <v>892</v>
      </c>
      <c r="BA39" s="2097"/>
      <c r="BB39" s="889">
        <f>BB36-BB37</f>
        <v>264.5</v>
      </c>
      <c r="BE39" s="2097" t="s">
        <v>892</v>
      </c>
      <c r="BF39" s="2097"/>
      <c r="BG39" s="889">
        <f>BG36-BG37</f>
        <v>270</v>
      </c>
      <c r="BK39" s="2097" t="s">
        <v>892</v>
      </c>
      <c r="BL39" s="2097"/>
      <c r="BM39" s="889">
        <f>BM36-BM37</f>
        <v>0</v>
      </c>
      <c r="BP39" s="2097" t="s">
        <v>892</v>
      </c>
      <c r="BQ39" s="2097"/>
      <c r="BR39" s="889">
        <f>BR36-BR37</f>
        <v>0</v>
      </c>
      <c r="BU39" s="2097" t="s">
        <v>892</v>
      </c>
      <c r="BV39" s="2097"/>
      <c r="BW39" s="889">
        <f>BW36-BW37</f>
        <v>0</v>
      </c>
      <c r="BZ39" s="2097" t="s">
        <v>892</v>
      </c>
      <c r="CA39" s="2097"/>
      <c r="CB39" s="889">
        <f>CB36-CB37</f>
        <v>0</v>
      </c>
      <c r="CE39" s="2097" t="s">
        <v>892</v>
      </c>
      <c r="CF39" s="2097"/>
      <c r="CG39" s="889">
        <f>CG36-CG37</f>
        <v>0</v>
      </c>
      <c r="CJ39" s="2097" t="s">
        <v>892</v>
      </c>
      <c r="CK39" s="2097"/>
      <c r="CL39" s="889">
        <f>CL36-CL37</f>
        <v>0</v>
      </c>
      <c r="CO39" s="2097" t="s">
        <v>892</v>
      </c>
      <c r="CP39" s="2097"/>
      <c r="CQ39" s="889">
        <f>CQ36-CQ37</f>
        <v>0</v>
      </c>
      <c r="CT39" s="2097" t="s">
        <v>892</v>
      </c>
      <c r="CU39" s="2097"/>
      <c r="CV39" s="889">
        <f>CV36-CV37</f>
        <v>0</v>
      </c>
      <c r="CY39" s="2097" t="s">
        <v>892</v>
      </c>
      <c r="CZ39" s="2097"/>
      <c r="DA39" s="889">
        <f>DA36-DA37</f>
        <v>0</v>
      </c>
      <c r="DD39" s="2097" t="s">
        <v>892</v>
      </c>
      <c r="DE39" s="2097"/>
      <c r="DF39" s="889">
        <f>DF36-DF37</f>
        <v>0</v>
      </c>
      <c r="DI39" s="2097" t="s">
        <v>892</v>
      </c>
      <c r="DJ39" s="2097"/>
      <c r="DK39" s="889">
        <f>DK36-DK37</f>
        <v>0</v>
      </c>
      <c r="DN39" s="2097" t="s">
        <v>892</v>
      </c>
      <c r="DO39" s="2097"/>
      <c r="DP39" s="889">
        <f>DP36-DP37</f>
        <v>0</v>
      </c>
    </row>
  </sheetData>
  <mergeCells count="193">
    <mergeCell ref="A1:A2"/>
    <mergeCell ref="B1:B2"/>
    <mergeCell ref="C1:C2"/>
    <mergeCell ref="D1:D2"/>
    <mergeCell ref="A36:B36"/>
    <mergeCell ref="A37:B37"/>
    <mergeCell ref="A38:C38"/>
    <mergeCell ref="A39:B39"/>
    <mergeCell ref="F1:F2"/>
    <mergeCell ref="I1:I2"/>
    <mergeCell ref="F36:G36"/>
    <mergeCell ref="P37:Q37"/>
    <mergeCell ref="P38:R38"/>
    <mergeCell ref="P39:Q39"/>
    <mergeCell ref="K1:K2"/>
    <mergeCell ref="L1:L2"/>
    <mergeCell ref="M1:M2"/>
    <mergeCell ref="N1:N2"/>
    <mergeCell ref="K36:L36"/>
    <mergeCell ref="K37:L37"/>
    <mergeCell ref="K38:M38"/>
    <mergeCell ref="K39:L39"/>
    <mergeCell ref="P1:P2"/>
    <mergeCell ref="Q1:Q2"/>
    <mergeCell ref="R1:R2"/>
    <mergeCell ref="F37:G37"/>
    <mergeCell ref="F38:H38"/>
    <mergeCell ref="F39:G39"/>
    <mergeCell ref="G1:G2"/>
    <mergeCell ref="H1:H2"/>
    <mergeCell ref="AA36:AB36"/>
    <mergeCell ref="AA37:AB37"/>
    <mergeCell ref="AA38:AC38"/>
    <mergeCell ref="S1:S2"/>
    <mergeCell ref="P36:Q36"/>
    <mergeCell ref="AA39:AB39"/>
    <mergeCell ref="U1:U2"/>
    <mergeCell ref="V1:V2"/>
    <mergeCell ref="W1:W2"/>
    <mergeCell ref="X1:X2"/>
    <mergeCell ref="U36:V36"/>
    <mergeCell ref="U37:V37"/>
    <mergeCell ref="U38:W38"/>
    <mergeCell ref="U39:V39"/>
    <mergeCell ref="AK36:AL36"/>
    <mergeCell ref="AK37:AL37"/>
    <mergeCell ref="AK38:AM38"/>
    <mergeCell ref="AK39:AL39"/>
    <mergeCell ref="AF1:AF2"/>
    <mergeCell ref="AG1:AG2"/>
    <mergeCell ref="AH1:AH2"/>
    <mergeCell ref="AI1:AI2"/>
    <mergeCell ref="AF36:AG36"/>
    <mergeCell ref="AF37:AG37"/>
    <mergeCell ref="AF38:AH38"/>
    <mergeCell ref="AF39:AG39"/>
    <mergeCell ref="AK1:AK2"/>
    <mergeCell ref="AL1:AL2"/>
    <mergeCell ref="AM1:AM2"/>
    <mergeCell ref="AP36:AQ36"/>
    <mergeCell ref="AP37:AQ37"/>
    <mergeCell ref="AP38:AR38"/>
    <mergeCell ref="AP39:AQ39"/>
    <mergeCell ref="BE1:BE2"/>
    <mergeCell ref="BE38:BG38"/>
    <mergeCell ref="BE39:BF39"/>
    <mergeCell ref="AU36:AV36"/>
    <mergeCell ref="AU37:AV37"/>
    <mergeCell ref="AU39:AV39"/>
    <mergeCell ref="AU38:AW38"/>
    <mergeCell ref="AZ36:BA36"/>
    <mergeCell ref="AZ37:BA37"/>
    <mergeCell ref="AZ38:BB38"/>
    <mergeCell ref="AZ39:BA39"/>
    <mergeCell ref="AU1:AU2"/>
    <mergeCell ref="BF1:BF2"/>
    <mergeCell ref="BG1:BG2"/>
    <mergeCell ref="BE36:BF36"/>
    <mergeCell ref="BE37:BF37"/>
    <mergeCell ref="AN1:AN2"/>
    <mergeCell ref="AA1:AA2"/>
    <mergeCell ref="AB1:AB2"/>
    <mergeCell ref="AZ1:AZ2"/>
    <mergeCell ref="BA1:BA2"/>
    <mergeCell ref="AV1:AV2"/>
    <mergeCell ref="AW1:AW2"/>
    <mergeCell ref="AX1:AX2"/>
    <mergeCell ref="AP1:AP2"/>
    <mergeCell ref="AQ1:AQ2"/>
    <mergeCell ref="AR1:AR2"/>
    <mergeCell ref="AS1:AS2"/>
    <mergeCell ref="AC1:AC2"/>
    <mergeCell ref="AD1:AD2"/>
    <mergeCell ref="BN1:BN2"/>
    <mergeCell ref="BK36:BL36"/>
    <mergeCell ref="BK37:BL37"/>
    <mergeCell ref="BK38:BM38"/>
    <mergeCell ref="BK39:BL39"/>
    <mergeCell ref="BB1:BB2"/>
    <mergeCell ref="BC1:BC2"/>
    <mergeCell ref="BK1:BK2"/>
    <mergeCell ref="BL1:BL2"/>
    <mergeCell ref="BM1:BM2"/>
    <mergeCell ref="BI1:BI2"/>
    <mergeCell ref="BH1:BH2"/>
    <mergeCell ref="BW1:BW2"/>
    <mergeCell ref="BX1:BX2"/>
    <mergeCell ref="BU36:BV36"/>
    <mergeCell ref="BU37:BV37"/>
    <mergeCell ref="BU38:BW38"/>
    <mergeCell ref="BP37:BQ37"/>
    <mergeCell ref="BP38:BR38"/>
    <mergeCell ref="BP39:BQ39"/>
    <mergeCell ref="BU1:BU2"/>
    <mergeCell ref="BV1:BV2"/>
    <mergeCell ref="BU39:BV39"/>
    <mergeCell ref="BP1:BP2"/>
    <mergeCell ref="BQ1:BQ2"/>
    <mergeCell ref="BR1:BR2"/>
    <mergeCell ref="BS1:BS2"/>
    <mergeCell ref="BP36:BQ36"/>
    <mergeCell ref="CG1:CG2"/>
    <mergeCell ref="CH1:CH2"/>
    <mergeCell ref="CE36:CF36"/>
    <mergeCell ref="CE37:CF37"/>
    <mergeCell ref="CE38:CG38"/>
    <mergeCell ref="BZ37:CA37"/>
    <mergeCell ref="BZ38:CB38"/>
    <mergeCell ref="BZ39:CA39"/>
    <mergeCell ref="CE1:CE2"/>
    <mergeCell ref="CF1:CF2"/>
    <mergeCell ref="CE39:CF39"/>
    <mergeCell ref="BZ1:BZ2"/>
    <mergeCell ref="CA1:CA2"/>
    <mergeCell ref="CB1:CB2"/>
    <mergeCell ref="CC1:CC2"/>
    <mergeCell ref="BZ36:CA36"/>
    <mergeCell ref="CQ1:CQ2"/>
    <mergeCell ref="CR1:CR2"/>
    <mergeCell ref="CO36:CP36"/>
    <mergeCell ref="CO37:CP37"/>
    <mergeCell ref="CO38:CQ38"/>
    <mergeCell ref="CJ37:CK37"/>
    <mergeCell ref="CJ38:CL38"/>
    <mergeCell ref="CJ39:CK39"/>
    <mergeCell ref="CO1:CO2"/>
    <mergeCell ref="CP1:CP2"/>
    <mergeCell ref="CO39:CP39"/>
    <mergeCell ref="CJ1:CJ2"/>
    <mergeCell ref="CK1:CK2"/>
    <mergeCell ref="CL1:CL2"/>
    <mergeCell ref="CM1:CM2"/>
    <mergeCell ref="CJ36:CK36"/>
    <mergeCell ref="DA1:DA2"/>
    <mergeCell ref="DB1:DB2"/>
    <mergeCell ref="CY36:CZ36"/>
    <mergeCell ref="CY37:CZ37"/>
    <mergeCell ref="CY38:DA38"/>
    <mergeCell ref="CT37:CU37"/>
    <mergeCell ref="CT38:CV38"/>
    <mergeCell ref="CT39:CU39"/>
    <mergeCell ref="CY1:CY2"/>
    <mergeCell ref="CZ1:CZ2"/>
    <mergeCell ref="CY39:CZ39"/>
    <mergeCell ref="CT1:CT2"/>
    <mergeCell ref="CU1:CU2"/>
    <mergeCell ref="CV1:CV2"/>
    <mergeCell ref="CW1:CW2"/>
    <mergeCell ref="CT36:CU36"/>
    <mergeCell ref="DI36:DJ36"/>
    <mergeCell ref="DI37:DJ37"/>
    <mergeCell ref="DI38:DK38"/>
    <mergeCell ref="DD37:DE37"/>
    <mergeCell ref="DD38:DF38"/>
    <mergeCell ref="DD39:DE39"/>
    <mergeCell ref="DI1:DI2"/>
    <mergeCell ref="DJ1:DJ2"/>
    <mergeCell ref="DI39:DJ39"/>
    <mergeCell ref="DD1:DD2"/>
    <mergeCell ref="DE1:DE2"/>
    <mergeCell ref="DF1:DF2"/>
    <mergeCell ref="DG1:DG2"/>
    <mergeCell ref="DD36:DE36"/>
    <mergeCell ref="DN37:DO37"/>
    <mergeCell ref="DN38:DP38"/>
    <mergeCell ref="DN39:DO39"/>
    <mergeCell ref="DN1:DN2"/>
    <mergeCell ref="DO1:DO2"/>
    <mergeCell ref="DP1:DP2"/>
    <mergeCell ref="DQ1:DQ2"/>
    <mergeCell ref="DN36:DO36"/>
    <mergeCell ref="DK1:DK2"/>
    <mergeCell ref="DL1:DL2"/>
  </mergeCells>
  <dataValidations count="2">
    <dataValidation type="list" allowBlank="1" showInputMessage="1" showErrorMessage="1" sqref="BA3:BA34 AV3:AV34 AQ3:AQ4 AQ6:AQ11 AQ13:AQ19 AQ21:AQ27 AQ29:AQ34 BF3:BF34 AL3:AL4 AL6:AL11 B29:B34 AL13:AL18 AL27 AG3:AG4 AG6:AG11 AG13:AG19 AG21:AG27 AG29:AG34 AB3:AB4 AB6:AB11 AB13:AB19 AB21:AB27 AB29:AB34 V3:V4 V6:V11 V13:V19 V21:V27 V29:V34 Q3:Q4 Q6:Q11 Q13:Q19 Q21:Q27 Q29:Q34 L3:L4 L6:L11 L13:L19 L21:L27 L29:L34 G3:G4 G6:G11 G13:G19 G21:G27 G29:G34 B3:B4 B6:B11 B13:B19 B21:B27 AL21:AL25 AL29:AL31 AL33:AL34 BL3:BL34 BQ3:BQ34 BV3:BV34 CA3:CA34 CF3:CF34 CK3:CK34 CP3:CP34 CU3:CU34 CZ3:CZ34 DE3:DE34 DJ3:DJ34 DO3:DO34" xr:uid="{D5CE5052-59FB-4C5B-AD38-D9954B01940E}">
      <formula1>"Diesel,Octane"</formula1>
      <formula2>0</formula2>
    </dataValidation>
    <dataValidation type="list" allowBlank="1" showInputMessage="1" showErrorMessage="1" sqref="AQ5 AQ12 AQ20 AQ28 B28 AL12 AL19:AL20 AL28 AG5 AG12 AG20 AG28 AB5 AB12 AB20 AB28 V5 V12 V20 V28 Q5 Q12 Q20 Q28 L5 L12 L20 L28 G5 G12 G20 G28 B5 B12 B20 AL5 AL26 AL32" xr:uid="{DF329937-86AF-4811-B895-340232808496}">
      <formula1>"Diesel,Octane"</formula1>
    </dataValidation>
  </dataValidations>
  <pageMargins left="0.7" right="0.7" top="0.75" bottom="0.75" header="0.511811023622047" footer="0.511811023622047"/>
  <pageSetup orientation="portrait" horizontalDpi="300" verticalDpi="300"/>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355CC-F9EE-42C4-9533-00CB54D1F5D0}">
  <dimension ref="A1:Y95"/>
  <sheetViews>
    <sheetView showGridLines="0" workbookViewId="0">
      <pane xSplit="3" ySplit="5" topLeftCell="D75" activePane="bottomRight" state="frozen"/>
      <selection pane="topRight" activeCell="X84" sqref="X84"/>
      <selection pane="bottomLeft" activeCell="X84" sqref="X84"/>
      <selection pane="bottomRight" activeCell="D84" sqref="D84"/>
    </sheetView>
  </sheetViews>
  <sheetFormatPr defaultRowHeight="15"/>
  <cols>
    <col min="1" max="1" width="22" bestFit="1" customWidth="1"/>
    <col min="2" max="2" width="1.5703125" customWidth="1"/>
    <col min="4" max="4" width="11.140625" bestFit="1" customWidth="1"/>
    <col min="5" max="5" width="11.7109375" bestFit="1" customWidth="1"/>
    <col min="6" max="6" width="10.85546875" bestFit="1" customWidth="1"/>
    <col min="7" max="8" width="11.85546875" bestFit="1" customWidth="1"/>
    <col min="9" max="9" width="11.140625" bestFit="1" customWidth="1"/>
    <col min="10" max="10" width="11.7109375" bestFit="1" customWidth="1"/>
    <col min="11" max="11" width="11.5703125" bestFit="1" customWidth="1"/>
    <col min="14" max="14" width="11.140625" bestFit="1" customWidth="1"/>
    <col min="15" max="15" width="11.7109375" bestFit="1" customWidth="1"/>
    <col min="16" max="16" width="11.5703125" bestFit="1" customWidth="1"/>
    <col min="18" max="18" width="10.5703125" bestFit="1" customWidth="1"/>
    <col min="23" max="23" width="11.5703125" bestFit="1" customWidth="1"/>
    <col min="24" max="24" width="15.140625" bestFit="1" customWidth="1"/>
    <col min="25" max="25" width="8.7109375" bestFit="1" customWidth="1"/>
  </cols>
  <sheetData>
    <row r="1" spans="1:25" ht="18.75">
      <c r="C1" s="2057" t="s">
        <v>715</v>
      </c>
      <c r="D1" s="2057"/>
      <c r="E1" s="2057"/>
      <c r="F1" s="2057"/>
      <c r="G1" s="2057"/>
      <c r="H1" s="2057"/>
      <c r="I1" s="2057"/>
      <c r="J1" s="2057"/>
      <c r="K1" s="2057"/>
    </row>
    <row r="2" spans="1:25" ht="15.75" thickBot="1"/>
    <row r="3" spans="1:25" ht="19.5" thickBot="1">
      <c r="C3" s="2105" t="s">
        <v>893</v>
      </c>
      <c r="D3" s="2106"/>
      <c r="E3" s="2106"/>
      <c r="F3" s="2106"/>
      <c r="G3" s="2106"/>
      <c r="H3" s="2106"/>
      <c r="I3" s="2106"/>
      <c r="J3" s="2106"/>
      <c r="K3" s="2106"/>
      <c r="L3" s="2106"/>
      <c r="M3" s="2106"/>
      <c r="N3" s="2106"/>
      <c r="O3" s="2106"/>
      <c r="P3" s="2106"/>
      <c r="Q3" s="2106"/>
      <c r="R3" s="2106"/>
      <c r="S3" s="2106"/>
      <c r="T3" s="2106"/>
      <c r="U3" s="2106"/>
      <c r="V3" s="2107"/>
      <c r="W3" s="901"/>
      <c r="X3" s="901"/>
      <c r="Y3" s="901"/>
    </row>
    <row r="4" spans="1:25" ht="16.5" thickBot="1">
      <c r="C4" s="2108" t="s">
        <v>894</v>
      </c>
      <c r="D4" s="2109"/>
      <c r="E4" s="2109"/>
      <c r="F4" s="2109"/>
      <c r="G4" s="2109"/>
      <c r="H4" s="2110"/>
      <c r="I4" s="2111" t="s">
        <v>895</v>
      </c>
      <c r="J4" s="2109"/>
      <c r="K4" s="2109"/>
      <c r="L4" s="2109"/>
      <c r="M4" s="2110"/>
      <c r="N4" s="2112" t="s">
        <v>896</v>
      </c>
      <c r="O4" s="2112"/>
      <c r="P4" s="2112"/>
      <c r="Q4" s="2112"/>
      <c r="R4" s="2112"/>
      <c r="S4" s="2111" t="s">
        <v>897</v>
      </c>
      <c r="T4" s="2109"/>
      <c r="U4" s="2109"/>
      <c r="V4" s="2113"/>
      <c r="W4" s="902"/>
      <c r="X4" s="902"/>
      <c r="Y4" s="902"/>
    </row>
    <row r="5" spans="1:25" ht="30.75" thickBot="1">
      <c r="A5" s="880" t="s">
        <v>338</v>
      </c>
      <c r="C5" s="903" t="s">
        <v>121</v>
      </c>
      <c r="D5" s="763" t="s">
        <v>898</v>
      </c>
      <c r="E5" s="763" t="s">
        <v>899</v>
      </c>
      <c r="F5" s="904" t="s">
        <v>900</v>
      </c>
      <c r="G5" s="904" t="s">
        <v>126</v>
      </c>
      <c r="H5" s="904" t="s">
        <v>901</v>
      </c>
      <c r="I5" s="763" t="s">
        <v>898</v>
      </c>
      <c r="J5" s="763" t="s">
        <v>899</v>
      </c>
      <c r="K5" s="904" t="s">
        <v>900</v>
      </c>
      <c r="L5" s="904" t="s">
        <v>126</v>
      </c>
      <c r="M5" s="904" t="s">
        <v>901</v>
      </c>
      <c r="N5" s="763" t="s">
        <v>898</v>
      </c>
      <c r="O5" s="763" t="s">
        <v>899</v>
      </c>
      <c r="P5" s="904" t="s">
        <v>900</v>
      </c>
      <c r="Q5" s="904" t="s">
        <v>126</v>
      </c>
      <c r="R5" s="904" t="s">
        <v>901</v>
      </c>
      <c r="S5" s="904" t="s">
        <v>902</v>
      </c>
      <c r="T5" s="904" t="s">
        <v>903</v>
      </c>
      <c r="U5" s="763" t="s">
        <v>901</v>
      </c>
      <c r="V5" s="905" t="s">
        <v>126</v>
      </c>
      <c r="W5" s="906" t="s">
        <v>902</v>
      </c>
      <c r="X5" s="906" t="s">
        <v>904</v>
      </c>
      <c r="Y5" s="906" t="s">
        <v>126</v>
      </c>
    </row>
    <row r="6" spans="1:25" ht="15.75" hidden="1" thickBot="1">
      <c r="C6" s="499" t="s">
        <v>905</v>
      </c>
      <c r="D6" s="907">
        <v>70766.820000000007</v>
      </c>
      <c r="E6" s="908">
        <v>72078.240000000005</v>
      </c>
      <c r="F6" s="909">
        <v>7956.54</v>
      </c>
      <c r="G6" s="910">
        <f t="shared" ref="G6:G71" si="0">D6/E6</f>
        <v>0.98180560457636035</v>
      </c>
      <c r="H6" s="910">
        <f t="shared" ref="H6:H71" si="1">F6/E6</f>
        <v>0.1103875455338532</v>
      </c>
      <c r="I6" s="907">
        <v>129840</v>
      </c>
      <c r="J6" s="907">
        <v>46498</v>
      </c>
      <c r="K6" s="909">
        <v>14960.85</v>
      </c>
      <c r="L6" s="910">
        <f t="shared" ref="L6:L43" si="2">I6/J6</f>
        <v>2.7923781668028731</v>
      </c>
      <c r="M6" s="910">
        <f t="shared" ref="M6:M30" si="3">K6/J6</f>
        <v>0.32175254849670953</v>
      </c>
      <c r="N6" s="907">
        <v>197040</v>
      </c>
      <c r="O6" s="907">
        <v>237869.5</v>
      </c>
      <c r="P6" s="909">
        <v>22105.98</v>
      </c>
      <c r="Q6" s="910">
        <f t="shared" ref="Q6:Q43" si="4">N6/O6</f>
        <v>0.82835336182234376</v>
      </c>
      <c r="R6" s="910">
        <f t="shared" ref="R6:R30" si="5">P6/O6</f>
        <v>9.2933225991562604E-2</v>
      </c>
      <c r="S6" s="910"/>
      <c r="T6" s="910"/>
      <c r="U6" s="910">
        <f t="shared" ref="U6:U69" si="6">((F6+K6+P6)/(E6+J6+O6))</f>
        <v>0.12631198790592923</v>
      </c>
      <c r="V6" s="910">
        <f t="shared" ref="V6:V71" si="7">((D6+I6+N6)/(E6+J6+O6))</f>
        <v>1.1155886447120957</v>
      </c>
      <c r="W6" s="911">
        <f t="shared" ref="W6:W69" si="8">D6+I6+N6</f>
        <v>397646.82</v>
      </c>
      <c r="X6" s="906"/>
      <c r="Y6" s="906"/>
    </row>
    <row r="7" spans="1:25" ht="15.75" hidden="1" thickBot="1">
      <c r="C7" s="651" t="s">
        <v>906</v>
      </c>
      <c r="D7" s="912">
        <v>57922.34</v>
      </c>
      <c r="E7" s="913">
        <v>82209.23</v>
      </c>
      <c r="F7" s="914">
        <v>6533.18</v>
      </c>
      <c r="G7" s="915">
        <f t="shared" si="0"/>
        <v>0.70457222382450246</v>
      </c>
      <c r="H7" s="915">
        <f t="shared" si="1"/>
        <v>7.9470151952524076E-2</v>
      </c>
      <c r="I7" s="912">
        <v>225680</v>
      </c>
      <c r="J7" s="912">
        <v>63179</v>
      </c>
      <c r="K7" s="914">
        <v>25460.95</v>
      </c>
      <c r="L7" s="915">
        <f t="shared" si="2"/>
        <v>3.5720729989395212</v>
      </c>
      <c r="M7" s="915">
        <f t="shared" si="3"/>
        <v>0.40299704015574794</v>
      </c>
      <c r="N7" s="912">
        <v>173660</v>
      </c>
      <c r="O7" s="912">
        <v>214360.5</v>
      </c>
      <c r="P7" s="914">
        <v>19497.79</v>
      </c>
      <c r="Q7" s="915">
        <f t="shared" si="4"/>
        <v>0.81013059775471696</v>
      </c>
      <c r="R7" s="915">
        <f t="shared" si="5"/>
        <v>9.0957942344788337E-2</v>
      </c>
      <c r="S7" s="915"/>
      <c r="T7" s="915"/>
      <c r="U7" s="915">
        <f t="shared" si="6"/>
        <v>0.14313301397895137</v>
      </c>
      <c r="V7" s="915">
        <f t="shared" si="7"/>
        <v>1.2710603314708018</v>
      </c>
      <c r="W7" s="911">
        <f t="shared" si="8"/>
        <v>457262.33999999997</v>
      </c>
      <c r="X7" s="906"/>
      <c r="Y7" s="906"/>
    </row>
    <row r="8" spans="1:25" ht="15.75" hidden="1" thickBot="1">
      <c r="C8" s="651" t="s">
        <v>907</v>
      </c>
      <c r="D8" s="912">
        <v>60063.360000000001</v>
      </c>
      <c r="E8" s="913">
        <v>83385.78</v>
      </c>
      <c r="F8" s="914">
        <v>6763.35</v>
      </c>
      <c r="G8" s="915">
        <f t="shared" si="0"/>
        <v>0.72030698759428768</v>
      </c>
      <c r="H8" s="915">
        <f t="shared" si="1"/>
        <v>8.1109153143377688E-2</v>
      </c>
      <c r="I8" s="912">
        <v>214020</v>
      </c>
      <c r="J8" s="912">
        <v>52808</v>
      </c>
      <c r="K8" s="914">
        <v>24180.2</v>
      </c>
      <c r="L8" s="915">
        <f t="shared" si="2"/>
        <v>4.0527950310559007</v>
      </c>
      <c r="M8" s="915">
        <f t="shared" si="3"/>
        <v>0.45788895621875475</v>
      </c>
      <c r="N8" s="912">
        <v>179820</v>
      </c>
      <c r="O8" s="912">
        <v>222124</v>
      </c>
      <c r="P8" s="914">
        <v>20174.419999999998</v>
      </c>
      <c r="Q8" s="915">
        <f t="shared" si="4"/>
        <v>0.80954782013650028</v>
      </c>
      <c r="R8" s="915">
        <f t="shared" si="5"/>
        <v>9.082503466532206E-2</v>
      </c>
      <c r="S8" s="915"/>
      <c r="T8" s="915"/>
      <c r="U8" s="915">
        <f t="shared" si="6"/>
        <v>0.14266099215059883</v>
      </c>
      <c r="V8" s="915">
        <f t="shared" si="7"/>
        <v>1.2667620345270054</v>
      </c>
      <c r="W8" s="911">
        <f t="shared" si="8"/>
        <v>453903.35999999999</v>
      </c>
      <c r="X8" s="906"/>
      <c r="Y8" s="906"/>
    </row>
    <row r="9" spans="1:25" ht="15.75" hidden="1" thickBot="1">
      <c r="C9" s="651" t="s">
        <v>908</v>
      </c>
      <c r="D9" s="912">
        <v>74610.16</v>
      </c>
      <c r="E9" s="913">
        <v>75139.91</v>
      </c>
      <c r="F9" s="914">
        <v>8358.01</v>
      </c>
      <c r="G9" s="915">
        <f t="shared" si="0"/>
        <v>0.99294981854516462</v>
      </c>
      <c r="H9" s="915">
        <f t="shared" si="1"/>
        <v>0.11123263256503767</v>
      </c>
      <c r="I9" s="912">
        <v>242940</v>
      </c>
      <c r="J9" s="912">
        <v>75337</v>
      </c>
      <c r="K9" s="914">
        <v>27356.81</v>
      </c>
      <c r="L9" s="915">
        <f t="shared" si="2"/>
        <v>3.2247103017109788</v>
      </c>
      <c r="M9" s="915">
        <f t="shared" si="3"/>
        <v>0.36312582130958232</v>
      </c>
      <c r="N9" s="912">
        <v>190760</v>
      </c>
      <c r="O9" s="912">
        <v>199880</v>
      </c>
      <c r="P9" s="914">
        <v>21376.080000000002</v>
      </c>
      <c r="Q9" s="915">
        <f t="shared" si="4"/>
        <v>0.95437262357414454</v>
      </c>
      <c r="R9" s="915">
        <f t="shared" si="5"/>
        <v>0.10694456674004403</v>
      </c>
      <c r="S9" s="915"/>
      <c r="T9" s="915"/>
      <c r="U9" s="915">
        <f t="shared" si="6"/>
        <v>0.1629506893413348</v>
      </c>
      <c r="V9" s="915">
        <f t="shared" si="7"/>
        <v>1.4508352639598288</v>
      </c>
      <c r="W9" s="911">
        <f t="shared" si="8"/>
        <v>508310.16000000003</v>
      </c>
      <c r="X9" s="906"/>
      <c r="Y9" s="906"/>
    </row>
    <row r="10" spans="1:25" ht="15.75" hidden="1" thickBot="1">
      <c r="C10" s="651" t="s">
        <v>909</v>
      </c>
      <c r="D10" s="912">
        <v>64155.16</v>
      </c>
      <c r="E10" s="913">
        <v>80383</v>
      </c>
      <c r="F10" s="914">
        <v>7195.89</v>
      </c>
      <c r="G10" s="915">
        <f t="shared" si="0"/>
        <v>0.79811850764465131</v>
      </c>
      <c r="H10" s="915">
        <f t="shared" si="1"/>
        <v>8.9520047771294936E-2</v>
      </c>
      <c r="I10" s="912">
        <v>313880</v>
      </c>
      <c r="J10" s="912">
        <v>87631</v>
      </c>
      <c r="K10" s="914">
        <v>35063.97</v>
      </c>
      <c r="L10" s="915">
        <f t="shared" si="2"/>
        <v>3.5818374776049571</v>
      </c>
      <c r="M10" s="915">
        <f t="shared" si="3"/>
        <v>0.40013203090230626</v>
      </c>
      <c r="N10" s="912">
        <v>200340</v>
      </c>
      <c r="O10" s="912">
        <v>219456</v>
      </c>
      <c r="P10" s="914">
        <v>22374.12</v>
      </c>
      <c r="Q10" s="915">
        <f t="shared" si="4"/>
        <v>0.91289370078740162</v>
      </c>
      <c r="R10" s="915">
        <f t="shared" si="5"/>
        <v>0.10195264654418197</v>
      </c>
      <c r="S10" s="915"/>
      <c r="T10" s="915"/>
      <c r="U10" s="915">
        <f t="shared" si="6"/>
        <v>0.16681028208635507</v>
      </c>
      <c r="V10" s="915">
        <f t="shared" si="7"/>
        <v>1.4926966216739361</v>
      </c>
      <c r="W10" s="911">
        <f t="shared" si="8"/>
        <v>578375.16</v>
      </c>
      <c r="X10" s="906"/>
      <c r="Y10" s="906"/>
    </row>
    <row r="11" spans="1:25" ht="15.75" hidden="1" thickBot="1">
      <c r="C11" s="651" t="s">
        <v>910</v>
      </c>
      <c r="D11" s="912">
        <v>47915.06</v>
      </c>
      <c r="E11" s="913">
        <v>60323.16</v>
      </c>
      <c r="F11" s="914">
        <v>5409.38</v>
      </c>
      <c r="G11" s="915">
        <f t="shared" si="0"/>
        <v>0.79430620013938258</v>
      </c>
      <c r="H11" s="915">
        <f t="shared" si="1"/>
        <v>8.9673352655928504E-2</v>
      </c>
      <c r="I11" s="912">
        <v>173140</v>
      </c>
      <c r="J11" s="912">
        <v>49699</v>
      </c>
      <c r="K11" s="914">
        <v>19630.36</v>
      </c>
      <c r="L11" s="915">
        <f t="shared" si="2"/>
        <v>3.4837723093019979</v>
      </c>
      <c r="M11" s="915">
        <f t="shared" si="3"/>
        <v>0.39498500975874767</v>
      </c>
      <c r="N11" s="912">
        <v>151840</v>
      </c>
      <c r="O11" s="912">
        <v>158891</v>
      </c>
      <c r="P11" s="914">
        <v>17049.37</v>
      </c>
      <c r="Q11" s="915">
        <f t="shared" si="4"/>
        <v>0.95562366653869635</v>
      </c>
      <c r="R11" s="915">
        <f t="shared" si="5"/>
        <v>0.1073023015778112</v>
      </c>
      <c r="S11" s="915"/>
      <c r="T11" s="915"/>
      <c r="U11" s="915">
        <f t="shared" si="6"/>
        <v>0.15651562013551137</v>
      </c>
      <c r="V11" s="915">
        <f t="shared" si="7"/>
        <v>1.38667464247566</v>
      </c>
      <c r="W11" s="911">
        <f t="shared" si="8"/>
        <v>372895.06</v>
      </c>
      <c r="X11" s="906"/>
      <c r="Y11" s="906"/>
    </row>
    <row r="12" spans="1:25" ht="15.75" hidden="1" thickBot="1">
      <c r="C12" s="651" t="s">
        <v>911</v>
      </c>
      <c r="D12" s="912">
        <v>61176.1</v>
      </c>
      <c r="E12" s="913">
        <v>81572.789999999994</v>
      </c>
      <c r="F12" s="914">
        <v>6861.6</v>
      </c>
      <c r="G12" s="915">
        <f t="shared" si="0"/>
        <v>0.74995718547814783</v>
      </c>
      <c r="H12" s="915">
        <f t="shared" si="1"/>
        <v>8.4116284363940488E-2</v>
      </c>
      <c r="I12" s="912">
        <v>233080</v>
      </c>
      <c r="J12" s="912">
        <v>75636</v>
      </c>
      <c r="K12" s="914">
        <v>26194.38</v>
      </c>
      <c r="L12" s="915">
        <f t="shared" si="2"/>
        <v>3.0816013538526628</v>
      </c>
      <c r="M12" s="915">
        <f t="shared" si="3"/>
        <v>0.34632159289227354</v>
      </c>
      <c r="N12" s="912">
        <v>214100</v>
      </c>
      <c r="O12" s="912">
        <v>261536</v>
      </c>
      <c r="P12" s="914">
        <v>23867.45</v>
      </c>
      <c r="Q12" s="915">
        <f t="shared" si="4"/>
        <v>0.81862535176801665</v>
      </c>
      <c r="R12" s="915">
        <f t="shared" si="5"/>
        <v>9.1258755964762017E-2</v>
      </c>
      <c r="S12" s="915"/>
      <c r="T12" s="915"/>
      <c r="U12" s="915">
        <f t="shared" si="6"/>
        <v>0.13593824056891551</v>
      </c>
      <c r="V12" s="915">
        <f t="shared" si="7"/>
        <v>1.2139998207500087</v>
      </c>
      <c r="W12" s="911">
        <f t="shared" si="8"/>
        <v>508356.1</v>
      </c>
      <c r="X12" s="906"/>
      <c r="Y12" s="906"/>
    </row>
    <row r="13" spans="1:25" ht="15.75" hidden="1" thickBot="1">
      <c r="C13" s="651" t="s">
        <v>912</v>
      </c>
      <c r="D13" s="912">
        <v>44444.82</v>
      </c>
      <c r="E13" s="913">
        <v>55087.06</v>
      </c>
      <c r="F13" s="914">
        <v>5029.3599999999997</v>
      </c>
      <c r="G13" s="915">
        <f t="shared" si="0"/>
        <v>0.8068105286432059</v>
      </c>
      <c r="H13" s="915">
        <f t="shared" si="1"/>
        <v>9.1298392036169657E-2</v>
      </c>
      <c r="I13" s="912">
        <v>146480</v>
      </c>
      <c r="J13" s="912">
        <v>48148</v>
      </c>
      <c r="K13" s="914">
        <v>16710.830000000002</v>
      </c>
      <c r="L13" s="915">
        <f t="shared" si="2"/>
        <v>3.0422862839577967</v>
      </c>
      <c r="M13" s="915">
        <f t="shared" si="3"/>
        <v>0.34707215252970014</v>
      </c>
      <c r="N13" s="912">
        <v>144080</v>
      </c>
      <c r="O13" s="912">
        <v>161943</v>
      </c>
      <c r="P13" s="914">
        <v>16199.56</v>
      </c>
      <c r="Q13" s="915">
        <f t="shared" si="4"/>
        <v>0.88969575714912041</v>
      </c>
      <c r="R13" s="915">
        <f t="shared" si="5"/>
        <v>0.10003248056414911</v>
      </c>
      <c r="S13" s="915"/>
      <c r="T13" s="915"/>
      <c r="U13" s="915">
        <f t="shared" si="6"/>
        <v>0.14307273384532643</v>
      </c>
      <c r="V13" s="915">
        <f t="shared" si="7"/>
        <v>1.2633202761947953</v>
      </c>
      <c r="W13" s="911">
        <f t="shared" si="8"/>
        <v>335004.82</v>
      </c>
      <c r="X13" s="906"/>
      <c r="Y13" s="906"/>
    </row>
    <row r="14" spans="1:25" ht="15.75" hidden="1" thickBot="1">
      <c r="C14" s="651" t="s">
        <v>913</v>
      </c>
      <c r="D14" s="912">
        <v>61149.04</v>
      </c>
      <c r="E14" s="913">
        <v>86831.33</v>
      </c>
      <c r="F14" s="914">
        <v>6858.64</v>
      </c>
      <c r="G14" s="915">
        <f t="shared" si="0"/>
        <v>0.70422784034288088</v>
      </c>
      <c r="H14" s="915">
        <f t="shared" si="1"/>
        <v>7.8988079533044125E-2</v>
      </c>
      <c r="I14" s="912">
        <v>101300</v>
      </c>
      <c r="J14" s="912">
        <v>46034</v>
      </c>
      <c r="K14" s="914">
        <v>11763.18</v>
      </c>
      <c r="L14" s="915">
        <f t="shared" si="2"/>
        <v>2.2005474214710867</v>
      </c>
      <c r="M14" s="915">
        <f t="shared" si="3"/>
        <v>0.25553243254985447</v>
      </c>
      <c r="N14" s="912">
        <v>189020</v>
      </c>
      <c r="O14" s="912">
        <v>247455</v>
      </c>
      <c r="P14" s="914">
        <v>21120.94</v>
      </c>
      <c r="Q14" s="915">
        <f t="shared" si="4"/>
        <v>0.76385605463619644</v>
      </c>
      <c r="R14" s="915">
        <f t="shared" si="5"/>
        <v>8.5352649976763451E-2</v>
      </c>
      <c r="S14" s="915"/>
      <c r="T14" s="915"/>
      <c r="U14" s="915">
        <f t="shared" si="6"/>
        <v>0.10449812135995988</v>
      </c>
      <c r="V14" s="915">
        <f t="shared" si="7"/>
        <v>0.92413950103587683</v>
      </c>
      <c r="W14" s="911">
        <f t="shared" si="8"/>
        <v>351469.04000000004</v>
      </c>
      <c r="X14" s="906"/>
      <c r="Y14" s="906"/>
    </row>
    <row r="15" spans="1:25" ht="15.75" hidden="1" thickBot="1">
      <c r="C15" s="651" t="s">
        <v>914</v>
      </c>
      <c r="D15" s="912">
        <v>61149.04</v>
      </c>
      <c r="E15" s="913">
        <v>95260.63</v>
      </c>
      <c r="F15" s="914">
        <v>6894.48</v>
      </c>
      <c r="G15" s="915">
        <f t="shared" si="0"/>
        <v>0.64191303374751985</v>
      </c>
      <c r="H15" s="915">
        <f t="shared" si="1"/>
        <v>7.2374915009485022E-2</v>
      </c>
      <c r="I15" s="912">
        <v>106680</v>
      </c>
      <c r="J15" s="912">
        <v>73751</v>
      </c>
      <c r="K15" s="914">
        <v>12337.44</v>
      </c>
      <c r="L15" s="915">
        <f t="shared" si="2"/>
        <v>1.4464888611679843</v>
      </c>
      <c r="M15" s="915">
        <f t="shared" si="3"/>
        <v>0.16728505376198288</v>
      </c>
      <c r="N15" s="912">
        <v>168000</v>
      </c>
      <c r="O15" s="912">
        <v>159866</v>
      </c>
      <c r="P15" s="914">
        <v>18796.32</v>
      </c>
      <c r="Q15" s="915">
        <f t="shared" si="4"/>
        <v>1.0508801120938787</v>
      </c>
      <c r="R15" s="915">
        <f t="shared" si="5"/>
        <v>0.11757546945566912</v>
      </c>
      <c r="S15" s="915"/>
      <c r="T15" s="915"/>
      <c r="U15" s="915">
        <f t="shared" si="6"/>
        <v>0.11563036379214968</v>
      </c>
      <c r="V15" s="915">
        <f t="shared" si="7"/>
        <v>1.0211367674961658</v>
      </c>
      <c r="W15" s="911">
        <f t="shared" si="8"/>
        <v>335829.04000000004</v>
      </c>
      <c r="X15" s="906"/>
      <c r="Y15" s="906"/>
    </row>
    <row r="16" spans="1:25" ht="15.75" hidden="1" thickBot="1">
      <c r="C16" s="651" t="s">
        <v>915</v>
      </c>
      <c r="D16" s="912">
        <v>42469.440000000002</v>
      </c>
      <c r="E16" s="913">
        <v>54075.35</v>
      </c>
      <c r="F16" s="914">
        <v>4801.42</v>
      </c>
      <c r="G16" s="915">
        <f t="shared" si="0"/>
        <v>0.7853752217969926</v>
      </c>
      <c r="H16" s="915">
        <f t="shared" si="1"/>
        <v>8.8791288452132078E-2</v>
      </c>
      <c r="I16" s="912">
        <v>108520</v>
      </c>
      <c r="J16" s="912">
        <v>73467</v>
      </c>
      <c r="K16" s="914">
        <v>12523.56</v>
      </c>
      <c r="L16" s="915">
        <f t="shared" si="2"/>
        <v>1.4771257843657697</v>
      </c>
      <c r="M16" s="915">
        <f t="shared" si="3"/>
        <v>0.1704651067826371</v>
      </c>
      <c r="N16" s="912">
        <v>132960</v>
      </c>
      <c r="O16" s="912">
        <v>113974</v>
      </c>
      <c r="P16" s="914">
        <v>14945.69</v>
      </c>
      <c r="Q16" s="915">
        <f t="shared" si="4"/>
        <v>1.1665818520013336</v>
      </c>
      <c r="R16" s="915">
        <f t="shared" si="5"/>
        <v>0.13113245126081388</v>
      </c>
      <c r="S16" s="915"/>
      <c r="T16" s="915"/>
      <c r="U16" s="915">
        <f t="shared" si="6"/>
        <v>0.13361691661868855</v>
      </c>
      <c r="V16" s="915">
        <f t="shared" si="7"/>
        <v>1.1756944819677839</v>
      </c>
      <c r="W16" s="911">
        <f t="shared" si="8"/>
        <v>283949.44</v>
      </c>
      <c r="X16" s="906"/>
      <c r="Y16" s="906"/>
    </row>
    <row r="17" spans="3:25" ht="15.75" hidden="1" thickBot="1">
      <c r="C17" s="651" t="s">
        <v>916</v>
      </c>
      <c r="D17" s="912">
        <v>40764.660000000003</v>
      </c>
      <c r="E17" s="913">
        <v>54879.02</v>
      </c>
      <c r="F17" s="914">
        <v>4615.18</v>
      </c>
      <c r="G17" s="915">
        <f t="shared" si="0"/>
        <v>0.7428095472550349</v>
      </c>
      <c r="H17" s="915">
        <f t="shared" si="1"/>
        <v>8.4097347219392771E-2</v>
      </c>
      <c r="I17" s="912">
        <v>76880</v>
      </c>
      <c r="J17" s="912">
        <v>57502</v>
      </c>
      <c r="K17" s="914">
        <v>9067.0300000000007</v>
      </c>
      <c r="L17" s="915">
        <f t="shared" si="2"/>
        <v>1.336996974018295</v>
      </c>
      <c r="M17" s="915">
        <f t="shared" si="3"/>
        <v>0.15768199366978541</v>
      </c>
      <c r="N17" s="912">
        <v>125780</v>
      </c>
      <c r="O17" s="912">
        <v>150507</v>
      </c>
      <c r="P17" s="914">
        <v>14161.3</v>
      </c>
      <c r="Q17" s="915">
        <f t="shared" si="4"/>
        <v>0.83570863813643215</v>
      </c>
      <c r="R17" s="915">
        <f t="shared" si="5"/>
        <v>9.4090640302444406E-2</v>
      </c>
      <c r="S17" s="915"/>
      <c r="T17" s="915"/>
      <c r="U17" s="915">
        <f t="shared" si="6"/>
        <v>0.10591395530309826</v>
      </c>
      <c r="V17" s="915">
        <f t="shared" si="7"/>
        <v>0.92596330559300488</v>
      </c>
      <c r="W17" s="911">
        <f t="shared" si="8"/>
        <v>243424.66</v>
      </c>
      <c r="X17" s="906"/>
      <c r="Y17" s="906"/>
    </row>
    <row r="18" spans="3:25" ht="15.75" hidden="1" thickBot="1">
      <c r="C18" s="651"/>
      <c r="D18" s="912"/>
      <c r="E18" s="913"/>
      <c r="F18" s="914"/>
      <c r="G18" s="915"/>
      <c r="H18" s="915"/>
      <c r="I18" s="912"/>
      <c r="J18" s="912"/>
      <c r="K18" s="914"/>
      <c r="L18" s="915"/>
      <c r="M18" s="915"/>
      <c r="N18" s="912"/>
      <c r="O18" s="912"/>
      <c r="P18" s="914"/>
      <c r="Q18" s="915"/>
      <c r="R18" s="915"/>
      <c r="S18" s="915"/>
      <c r="T18" s="915"/>
      <c r="U18" s="915"/>
      <c r="V18" s="915"/>
      <c r="W18" s="911"/>
      <c r="X18" s="906"/>
      <c r="Y18" s="906"/>
    </row>
    <row r="19" spans="3:25" ht="15.75" hidden="1" thickBot="1">
      <c r="C19" s="651" t="s">
        <v>917</v>
      </c>
      <c r="D19" s="912">
        <v>46190.6</v>
      </c>
      <c r="E19" s="913">
        <v>63139</v>
      </c>
      <c r="F19" s="916">
        <v>5207.95</v>
      </c>
      <c r="G19" s="915">
        <f t="shared" si="0"/>
        <v>0.73157002803338667</v>
      </c>
      <c r="H19" s="915">
        <f t="shared" si="1"/>
        <v>8.2483884762191359E-2</v>
      </c>
      <c r="I19" s="912">
        <v>99680</v>
      </c>
      <c r="J19" s="912">
        <v>78688</v>
      </c>
      <c r="K19" s="916">
        <v>11557.83</v>
      </c>
      <c r="L19" s="915">
        <f t="shared" si="2"/>
        <v>1.2667751118340789</v>
      </c>
      <c r="M19" s="915">
        <f t="shared" si="3"/>
        <v>0.14688173546156974</v>
      </c>
      <c r="N19" s="912">
        <v>138940</v>
      </c>
      <c r="O19" s="912">
        <v>160236</v>
      </c>
      <c r="P19" s="916">
        <v>15598.98</v>
      </c>
      <c r="Q19" s="915">
        <f t="shared" si="4"/>
        <v>0.86709603335080754</v>
      </c>
      <c r="R19" s="915">
        <f t="shared" si="5"/>
        <v>9.7350033700292063E-2</v>
      </c>
      <c r="S19" s="915"/>
      <c r="T19" s="915"/>
      <c r="U19" s="915">
        <f t="shared" si="6"/>
        <v>0.10714572787795923</v>
      </c>
      <c r="V19" s="915">
        <f t="shared" si="7"/>
        <v>0.94288476245021724</v>
      </c>
      <c r="W19" s="911">
        <f t="shared" si="8"/>
        <v>284810.59999999998</v>
      </c>
      <c r="X19" s="906"/>
      <c r="Y19" s="906"/>
    </row>
    <row r="20" spans="3:25" ht="15.75" hidden="1" thickBot="1">
      <c r="C20" s="651" t="s">
        <v>918</v>
      </c>
      <c r="D20" s="912">
        <v>38756.660000000003</v>
      </c>
      <c r="E20" s="913">
        <v>43693.93</v>
      </c>
      <c r="F20" s="916">
        <v>4382.5</v>
      </c>
      <c r="G20" s="915">
        <f t="shared" si="0"/>
        <v>0.8870032977120621</v>
      </c>
      <c r="H20" s="915">
        <f t="shared" si="1"/>
        <v>0.10029997301684695</v>
      </c>
      <c r="I20" s="912">
        <v>79600</v>
      </c>
      <c r="J20" s="912">
        <v>63727</v>
      </c>
      <c r="K20" s="916">
        <v>9336.0400000000009</v>
      </c>
      <c r="L20" s="915">
        <f t="shared" si="2"/>
        <v>1.2490780987650447</v>
      </c>
      <c r="M20" s="915">
        <f t="shared" si="3"/>
        <v>0.14650054137178906</v>
      </c>
      <c r="N20" s="912">
        <v>110600</v>
      </c>
      <c r="O20" s="912">
        <v>129992</v>
      </c>
      <c r="P20" s="916">
        <v>12465.38</v>
      </c>
      <c r="Q20" s="915">
        <f t="shared" si="4"/>
        <v>0.8508215890208628</v>
      </c>
      <c r="R20" s="915">
        <f t="shared" si="5"/>
        <v>9.589343959628284E-2</v>
      </c>
      <c r="S20" s="915"/>
      <c r="T20" s="915"/>
      <c r="U20" s="915">
        <f t="shared" si="6"/>
        <v>0.11028851714184228</v>
      </c>
      <c r="V20" s="915">
        <f t="shared" si="7"/>
        <v>0.96438159454921013</v>
      </c>
      <c r="W20" s="911">
        <f t="shared" si="8"/>
        <v>228956.66</v>
      </c>
      <c r="X20" s="906"/>
      <c r="Y20" s="906"/>
    </row>
    <row r="21" spans="3:25" ht="15.75" hidden="1" thickBot="1">
      <c r="C21" s="651" t="s">
        <v>919</v>
      </c>
      <c r="D21" s="912">
        <v>47979.839999999997</v>
      </c>
      <c r="E21" s="913">
        <v>71703.56</v>
      </c>
      <c r="F21" s="916">
        <v>5873.96</v>
      </c>
      <c r="G21" s="915">
        <f t="shared" si="0"/>
        <v>0.66914167162690386</v>
      </c>
      <c r="H21" s="915">
        <f t="shared" si="1"/>
        <v>8.1920060872849268E-2</v>
      </c>
      <c r="I21" s="912">
        <v>80380</v>
      </c>
      <c r="J21" s="912">
        <v>56384</v>
      </c>
      <c r="K21" s="916">
        <v>9409.68</v>
      </c>
      <c r="L21" s="915">
        <f t="shared" si="2"/>
        <v>1.4255817253121452</v>
      </c>
      <c r="M21" s="915">
        <f t="shared" si="3"/>
        <v>0.1668856413166856</v>
      </c>
      <c r="N21" s="912">
        <v>127240</v>
      </c>
      <c r="O21" s="912">
        <v>132547</v>
      </c>
      <c r="P21" s="916">
        <v>14260.61</v>
      </c>
      <c r="Q21" s="915">
        <f t="shared" si="4"/>
        <v>0.95996137219250532</v>
      </c>
      <c r="R21" s="915">
        <f t="shared" si="5"/>
        <v>0.10758908160878783</v>
      </c>
      <c r="S21" s="915"/>
      <c r="T21" s="915"/>
      <c r="U21" s="915">
        <f t="shared" si="6"/>
        <v>0.11335507463016417</v>
      </c>
      <c r="V21" s="915">
        <f t="shared" si="7"/>
        <v>0.98068283807028511</v>
      </c>
      <c r="W21" s="911">
        <f t="shared" si="8"/>
        <v>255599.84</v>
      </c>
      <c r="X21" s="906"/>
      <c r="Y21" s="906"/>
    </row>
    <row r="22" spans="3:25" ht="15.75" hidden="1" thickBot="1">
      <c r="C22" s="651" t="s">
        <v>920</v>
      </c>
      <c r="D22" s="912">
        <v>51461.56</v>
      </c>
      <c r="E22" s="913">
        <v>75819</v>
      </c>
      <c r="F22" s="916">
        <v>5748.01</v>
      </c>
      <c r="G22" s="915">
        <f t="shared" si="0"/>
        <v>0.67874226776929258</v>
      </c>
      <c r="H22" s="915">
        <f t="shared" si="1"/>
        <v>7.5812263416821637E-2</v>
      </c>
      <c r="I22" s="912">
        <v>92940</v>
      </c>
      <c r="J22" s="912">
        <v>52652</v>
      </c>
      <c r="K22" s="916">
        <v>10752.8</v>
      </c>
      <c r="L22" s="915">
        <f t="shared" si="2"/>
        <v>1.765175112056522</v>
      </c>
      <c r="M22" s="915">
        <f t="shared" si="3"/>
        <v>0.20422396110309199</v>
      </c>
      <c r="N22" s="912">
        <v>132280</v>
      </c>
      <c r="O22" s="912">
        <v>141485.5</v>
      </c>
      <c r="P22" s="916">
        <v>14776.96</v>
      </c>
      <c r="Q22" s="915">
        <f t="shared" si="4"/>
        <v>0.93493679564336984</v>
      </c>
      <c r="R22" s="915">
        <f t="shared" si="5"/>
        <v>0.10444151520827222</v>
      </c>
      <c r="S22" s="915"/>
      <c r="T22" s="915"/>
      <c r="U22" s="915">
        <f t="shared" si="6"/>
        <v>0.11586225928992262</v>
      </c>
      <c r="V22" s="915">
        <f t="shared" si="7"/>
        <v>1.0249116431721408</v>
      </c>
      <c r="W22" s="911">
        <f t="shared" si="8"/>
        <v>276681.56</v>
      </c>
      <c r="X22" s="906"/>
      <c r="Y22" s="906"/>
    </row>
    <row r="23" spans="3:25" ht="15.75" hidden="1" thickBot="1">
      <c r="C23" s="651" t="s">
        <v>921</v>
      </c>
      <c r="D23" s="912">
        <v>56671.839999999997</v>
      </c>
      <c r="E23" s="913">
        <v>73633.759999999995</v>
      </c>
      <c r="F23" s="916">
        <v>6317.14</v>
      </c>
      <c r="G23" s="915">
        <f t="shared" si="0"/>
        <v>0.76964479336652103</v>
      </c>
      <c r="H23" s="915">
        <f t="shared" si="1"/>
        <v>8.5791354400481523E-2</v>
      </c>
      <c r="I23" s="912">
        <v>97780</v>
      </c>
      <c r="J23" s="912">
        <v>57474</v>
      </c>
      <c r="K23" s="916">
        <v>10912.16</v>
      </c>
      <c r="L23" s="915">
        <f t="shared" si="2"/>
        <v>1.7012910185475172</v>
      </c>
      <c r="M23" s="915">
        <f t="shared" si="3"/>
        <v>0.18986254654278456</v>
      </c>
      <c r="N23" s="912">
        <v>134740</v>
      </c>
      <c r="O23" s="912">
        <v>102618.5</v>
      </c>
      <c r="P23" s="916">
        <v>15040.39</v>
      </c>
      <c r="Q23" s="915">
        <f t="shared" si="4"/>
        <v>1.3130186077559114</v>
      </c>
      <c r="R23" s="915">
        <f t="shared" si="5"/>
        <v>0.14656606752193804</v>
      </c>
      <c r="S23" s="915"/>
      <c r="T23" s="915"/>
      <c r="U23" s="915">
        <f t="shared" si="6"/>
        <v>0.13806617193977261</v>
      </c>
      <c r="V23" s="915">
        <f t="shared" si="7"/>
        <v>1.2373100053027843</v>
      </c>
      <c r="W23" s="911">
        <f t="shared" si="8"/>
        <v>289191.83999999997</v>
      </c>
      <c r="X23" s="906"/>
      <c r="Y23" s="906"/>
    </row>
    <row r="24" spans="3:25" ht="15.75" hidden="1" thickBot="1">
      <c r="C24" s="651" t="s">
        <v>922</v>
      </c>
      <c r="D24" s="912">
        <v>48574.34</v>
      </c>
      <c r="E24" s="913">
        <v>58818.2</v>
      </c>
      <c r="F24" s="916">
        <v>5437.01</v>
      </c>
      <c r="G24" s="915">
        <f t="shared" si="0"/>
        <v>0.82583860097724848</v>
      </c>
      <c r="H24" s="915">
        <f t="shared" si="1"/>
        <v>9.2437544841562649E-2</v>
      </c>
      <c r="I24" s="912">
        <v>79660</v>
      </c>
      <c r="J24" s="912">
        <v>46425</v>
      </c>
      <c r="K24" s="916">
        <v>8945.68</v>
      </c>
      <c r="L24" s="915">
        <f t="shared" si="2"/>
        <v>1.7158858373721055</v>
      </c>
      <c r="M24" s="915">
        <f t="shared" si="3"/>
        <v>0.19269100700053851</v>
      </c>
      <c r="N24" s="912">
        <v>110600</v>
      </c>
      <c r="O24" s="912">
        <v>90394</v>
      </c>
      <c r="P24" s="916">
        <v>13292.87</v>
      </c>
      <c r="Q24" s="915">
        <f t="shared" si="4"/>
        <v>1.2235325353452662</v>
      </c>
      <c r="R24" s="915">
        <f t="shared" si="5"/>
        <v>0.14705478239706177</v>
      </c>
      <c r="S24" s="915"/>
      <c r="T24" s="915"/>
      <c r="U24" s="915">
        <f t="shared" si="6"/>
        <v>0.14146368890988012</v>
      </c>
      <c r="V24" s="915">
        <f t="shared" si="7"/>
        <v>1.2208022809567913</v>
      </c>
      <c r="W24" s="911">
        <f t="shared" si="8"/>
        <v>238834.34</v>
      </c>
      <c r="X24" s="906"/>
      <c r="Y24" s="906"/>
    </row>
    <row r="25" spans="3:25" ht="15.75" hidden="1" thickBot="1">
      <c r="C25" s="651" t="s">
        <v>923</v>
      </c>
      <c r="D25" s="912">
        <v>56573.440000000002</v>
      </c>
      <c r="E25" s="913">
        <v>52466.21</v>
      </c>
      <c r="F25" s="916">
        <v>6300.44</v>
      </c>
      <c r="G25" s="915">
        <f t="shared" si="0"/>
        <v>1.0782833370277747</v>
      </c>
      <c r="H25" s="915">
        <f t="shared" si="1"/>
        <v>0.12008567037718181</v>
      </c>
      <c r="I25" s="912">
        <v>91960</v>
      </c>
      <c r="J25" s="912">
        <v>51047</v>
      </c>
      <c r="K25" s="916">
        <v>10297.99</v>
      </c>
      <c r="L25" s="915">
        <f t="shared" si="2"/>
        <v>1.8014770701510372</v>
      </c>
      <c r="M25" s="915">
        <f t="shared" si="3"/>
        <v>0.20173545947851979</v>
      </c>
      <c r="N25" s="912">
        <v>140300</v>
      </c>
      <c r="O25" s="912">
        <v>146740.5</v>
      </c>
      <c r="P25" s="916">
        <v>15643.81</v>
      </c>
      <c r="Q25" s="915">
        <f t="shared" si="4"/>
        <v>0.95610959482896674</v>
      </c>
      <c r="R25" s="915">
        <f t="shared" si="5"/>
        <v>0.10660867313386556</v>
      </c>
      <c r="S25" s="915"/>
      <c r="T25" s="915"/>
      <c r="U25" s="915">
        <f t="shared" si="6"/>
        <v>0.12883820983113498</v>
      </c>
      <c r="V25" s="915">
        <f t="shared" si="7"/>
        <v>1.1541624697591897</v>
      </c>
      <c r="W25" s="911">
        <f t="shared" si="8"/>
        <v>288833.44</v>
      </c>
      <c r="X25" s="906"/>
      <c r="Y25" s="906"/>
    </row>
    <row r="26" spans="3:25" ht="15.75" hidden="1" thickBot="1">
      <c r="C26" s="651" t="s">
        <v>924</v>
      </c>
      <c r="D26" s="912">
        <v>42116.02</v>
      </c>
      <c r="E26" s="913">
        <v>50705.1</v>
      </c>
      <c r="F26" s="916">
        <v>4731.43</v>
      </c>
      <c r="G26" s="915">
        <f t="shared" si="0"/>
        <v>0.83060717758174218</v>
      </c>
      <c r="H26" s="915">
        <f t="shared" si="1"/>
        <v>9.3312704244740682E-2</v>
      </c>
      <c r="I26" s="912">
        <v>68780</v>
      </c>
      <c r="J26" s="912">
        <v>44338</v>
      </c>
      <c r="K26" s="916">
        <v>7764.91</v>
      </c>
      <c r="L26" s="915">
        <f t="shared" si="2"/>
        <v>1.5512652803464297</v>
      </c>
      <c r="M26" s="915">
        <f t="shared" si="3"/>
        <v>0.17512991113717352</v>
      </c>
      <c r="N26" s="912">
        <v>113100</v>
      </c>
      <c r="O26" s="912">
        <v>130878</v>
      </c>
      <c r="P26" s="916">
        <v>12691.89</v>
      </c>
      <c r="Q26" s="915">
        <f t="shared" si="4"/>
        <v>0.86416357218172646</v>
      </c>
      <c r="R26" s="915">
        <f t="shared" si="5"/>
        <v>9.6974969055150601E-2</v>
      </c>
      <c r="S26" s="915"/>
      <c r="T26" s="915"/>
      <c r="U26" s="915">
        <f t="shared" si="6"/>
        <v>0.1114912684118482</v>
      </c>
      <c r="V26" s="915">
        <f t="shared" si="7"/>
        <v>0.99147897208361668</v>
      </c>
      <c r="W26" s="911">
        <f t="shared" si="8"/>
        <v>223996.02</v>
      </c>
      <c r="X26" s="906"/>
      <c r="Y26" s="906"/>
    </row>
    <row r="27" spans="3:25" ht="15.75" hidden="1" thickBot="1">
      <c r="C27" s="651" t="s">
        <v>925</v>
      </c>
      <c r="D27" s="912">
        <v>57940.38</v>
      </c>
      <c r="E27" s="913">
        <v>63709.09</v>
      </c>
      <c r="F27" s="916">
        <v>6454.32</v>
      </c>
      <c r="G27" s="915">
        <f t="shared" si="0"/>
        <v>0.90945232462118042</v>
      </c>
      <c r="H27" s="915">
        <f t="shared" si="1"/>
        <v>0.1013092480209653</v>
      </c>
      <c r="I27" s="912">
        <v>98140</v>
      </c>
      <c r="J27" s="912">
        <v>49605</v>
      </c>
      <c r="K27" s="916">
        <v>10951.23</v>
      </c>
      <c r="L27" s="915">
        <f t="shared" si="2"/>
        <v>1.9784295937909484</v>
      </c>
      <c r="M27" s="915">
        <f t="shared" si="3"/>
        <v>0.22076867251285151</v>
      </c>
      <c r="N27" s="912">
        <v>152820</v>
      </c>
      <c r="O27" s="912">
        <v>150603</v>
      </c>
      <c r="P27" s="916">
        <v>17002.55</v>
      </c>
      <c r="Q27" s="915">
        <f t="shared" si="4"/>
        <v>1.0147208222943767</v>
      </c>
      <c r="R27" s="915">
        <f t="shared" si="5"/>
        <v>0.11289648944576136</v>
      </c>
      <c r="S27" s="915"/>
      <c r="T27" s="915"/>
      <c r="U27" s="915">
        <f t="shared" si="6"/>
        <v>0.13037465667721632</v>
      </c>
      <c r="V27" s="915">
        <f t="shared" si="7"/>
        <v>1.17044477869925</v>
      </c>
      <c r="W27" s="911">
        <f t="shared" si="8"/>
        <v>308900.38</v>
      </c>
      <c r="X27" s="906"/>
      <c r="Y27" s="906"/>
    </row>
    <row r="28" spans="3:25" ht="15.75" hidden="1" thickBot="1">
      <c r="C28" s="651" t="s">
        <v>926</v>
      </c>
      <c r="D28" s="912">
        <v>47669.06</v>
      </c>
      <c r="E28" s="913">
        <v>42589.71</v>
      </c>
      <c r="F28" s="916">
        <v>5318.15</v>
      </c>
      <c r="G28" s="915">
        <f t="shared" si="0"/>
        <v>1.1192623758180087</v>
      </c>
      <c r="H28" s="915">
        <f t="shared" si="1"/>
        <v>0.12486936398486864</v>
      </c>
      <c r="I28" s="912">
        <v>106740</v>
      </c>
      <c r="J28" s="912">
        <v>53428</v>
      </c>
      <c r="K28" s="916">
        <v>11849.07</v>
      </c>
      <c r="L28" s="915">
        <f t="shared" si="2"/>
        <v>1.9978288537845326</v>
      </c>
      <c r="M28" s="915">
        <f t="shared" si="3"/>
        <v>0.22177640937336227</v>
      </c>
      <c r="N28" s="912">
        <v>136100</v>
      </c>
      <c r="O28" s="912">
        <v>117654</v>
      </c>
      <c r="P28" s="916">
        <v>15142.65</v>
      </c>
      <c r="Q28" s="915">
        <f t="shared" si="4"/>
        <v>1.1567817498767572</v>
      </c>
      <c r="R28" s="915">
        <f t="shared" si="5"/>
        <v>0.12870493140904687</v>
      </c>
      <c r="S28" s="915"/>
      <c r="T28" s="915"/>
      <c r="U28" s="915">
        <f t="shared" si="6"/>
        <v>0.15121267106441</v>
      </c>
      <c r="V28" s="915">
        <f t="shared" si="7"/>
        <v>1.3596046945100968</v>
      </c>
      <c r="W28" s="911">
        <f t="shared" si="8"/>
        <v>290509.06</v>
      </c>
      <c r="X28" s="906"/>
      <c r="Y28" s="906"/>
    </row>
    <row r="29" spans="3:25" ht="15.75" hidden="1" thickBot="1">
      <c r="C29" s="651" t="s">
        <v>927</v>
      </c>
      <c r="D29" s="912">
        <v>43459.18</v>
      </c>
      <c r="E29" s="913">
        <v>41628.550000000003</v>
      </c>
      <c r="F29" s="916">
        <v>4856.84</v>
      </c>
      <c r="G29" s="915">
        <f t="shared" si="0"/>
        <v>1.043975348648944</v>
      </c>
      <c r="H29" s="915">
        <f t="shared" si="1"/>
        <v>0.11667089053065743</v>
      </c>
      <c r="I29" s="912">
        <v>92360</v>
      </c>
      <c r="J29" s="912">
        <v>71101</v>
      </c>
      <c r="K29" s="916">
        <v>10280.85</v>
      </c>
      <c r="L29" s="915">
        <f t="shared" si="2"/>
        <v>1.2989972011645405</v>
      </c>
      <c r="M29" s="915">
        <f t="shared" si="3"/>
        <v>0.14459501272837233</v>
      </c>
      <c r="N29" s="912">
        <v>112520</v>
      </c>
      <c r="O29" s="912">
        <v>111737.07</v>
      </c>
      <c r="P29" s="916">
        <v>12576.23</v>
      </c>
      <c r="Q29" s="915">
        <f t="shared" si="4"/>
        <v>1.0070068957419414</v>
      </c>
      <c r="R29" s="915">
        <f t="shared" si="5"/>
        <v>0.11255199371166613</v>
      </c>
      <c r="S29" s="915"/>
      <c r="T29" s="915"/>
      <c r="U29" s="915">
        <f t="shared" si="6"/>
        <v>0.12346566273417402</v>
      </c>
      <c r="V29" s="915">
        <f t="shared" si="7"/>
        <v>1.1063523832630437</v>
      </c>
      <c r="W29" s="911">
        <f t="shared" si="8"/>
        <v>248339.18</v>
      </c>
      <c r="X29" s="906"/>
      <c r="Y29" s="906"/>
    </row>
    <row r="30" spans="3:25" ht="15.75" hidden="1" thickBot="1">
      <c r="C30" s="651" t="s">
        <v>928</v>
      </c>
      <c r="D30" s="912">
        <v>29738.94</v>
      </c>
      <c r="E30" s="913">
        <v>43309.15</v>
      </c>
      <c r="F30" s="916">
        <v>3370.03</v>
      </c>
      <c r="G30" s="915">
        <f t="shared" si="0"/>
        <v>0.68666644346517991</v>
      </c>
      <c r="H30" s="915">
        <f t="shared" si="1"/>
        <v>7.7813348911257782E-2</v>
      </c>
      <c r="I30" s="912">
        <v>87380</v>
      </c>
      <c r="J30" s="912">
        <v>79333</v>
      </c>
      <c r="K30" s="916">
        <v>9731.0400000000009</v>
      </c>
      <c r="L30" s="915">
        <f t="shared" si="2"/>
        <v>1.1014331992991566</v>
      </c>
      <c r="M30" s="915">
        <f t="shared" si="3"/>
        <v>0.12266068344824979</v>
      </c>
      <c r="N30" s="912">
        <v>105900</v>
      </c>
      <c r="O30" s="912">
        <v>109447.7</v>
      </c>
      <c r="P30" s="916">
        <v>11846.65</v>
      </c>
      <c r="Q30" s="915">
        <f t="shared" si="4"/>
        <v>0.96758543121509177</v>
      </c>
      <c r="R30" s="915">
        <f t="shared" si="5"/>
        <v>0.10824028280174001</v>
      </c>
      <c r="S30" s="915"/>
      <c r="T30" s="915"/>
      <c r="U30" s="915">
        <f t="shared" si="6"/>
        <v>0.10749164601554098</v>
      </c>
      <c r="V30" s="915">
        <f t="shared" si="7"/>
        <v>0.96091638647704769</v>
      </c>
      <c r="W30" s="911">
        <f t="shared" si="8"/>
        <v>223018.94</v>
      </c>
      <c r="X30" s="906"/>
      <c r="Y30" s="906"/>
    </row>
    <row r="31" spans="3:25" ht="15.75" hidden="1" thickBot="1">
      <c r="C31" s="651"/>
      <c r="D31" s="912"/>
      <c r="E31" s="913"/>
      <c r="F31" s="916"/>
      <c r="G31" s="915"/>
      <c r="H31" s="915"/>
      <c r="I31" s="912"/>
      <c r="J31" s="912"/>
      <c r="K31" s="916"/>
      <c r="L31" s="915"/>
      <c r="M31" s="915"/>
      <c r="N31" s="912"/>
      <c r="O31" s="912"/>
      <c r="P31" s="916"/>
      <c r="Q31" s="915"/>
      <c r="R31" s="915"/>
      <c r="S31" s="915"/>
      <c r="T31" s="915"/>
      <c r="U31" s="915"/>
      <c r="V31" s="915"/>
      <c r="W31" s="911"/>
      <c r="X31" s="906"/>
      <c r="Y31" s="906"/>
    </row>
    <row r="32" spans="3:25" ht="15.75" hidden="1" thickBot="1">
      <c r="C32" s="651" t="s">
        <v>929</v>
      </c>
      <c r="D32" s="912">
        <v>26118.639999999999</v>
      </c>
      <c r="E32" s="913">
        <v>39773.14</v>
      </c>
      <c r="F32" s="916">
        <f>D32*9.41/83</f>
        <v>2961.1614746987952</v>
      </c>
      <c r="G32" s="915">
        <f t="shared" si="0"/>
        <v>0.65669041971541597</v>
      </c>
      <c r="H32" s="915">
        <f t="shared" si="1"/>
        <v>7.445128734363933E-2</v>
      </c>
      <c r="I32" s="912">
        <v>101618.4999999994</v>
      </c>
      <c r="J32" s="912">
        <v>84697</v>
      </c>
      <c r="K32" s="916">
        <f>I32*9.41/83</f>
        <v>11520.844397590294</v>
      </c>
      <c r="L32" s="915">
        <f t="shared" si="2"/>
        <v>1.1997886583940329</v>
      </c>
      <c r="M32" s="915">
        <f>K32/J32</f>
        <v>0.13602423223479337</v>
      </c>
      <c r="N32" s="912">
        <v>103740</v>
      </c>
      <c r="O32" s="912">
        <v>102886.04</v>
      </c>
      <c r="P32" s="916">
        <f>N32*9.41/83</f>
        <v>11761.366265060242</v>
      </c>
      <c r="Q32" s="915">
        <f t="shared" si="4"/>
        <v>1.0083000570339766</v>
      </c>
      <c r="R32" s="915">
        <f>P32/O32</f>
        <v>0.11431450044204483</v>
      </c>
      <c r="S32" s="912">
        <f t="shared" ref="S32:T56" si="9">D32+I32+N32</f>
        <v>231477.1399999994</v>
      </c>
      <c r="T32" s="912">
        <f t="shared" si="9"/>
        <v>227356.18</v>
      </c>
      <c r="U32" s="915">
        <f t="shared" si="6"/>
        <v>0.11542845299982316</v>
      </c>
      <c r="V32" s="915">
        <f t="shared" si="7"/>
        <v>1.0181255684362722</v>
      </c>
      <c r="W32" s="911">
        <f t="shared" si="8"/>
        <v>231477.1399999994</v>
      </c>
      <c r="X32" s="917"/>
      <c r="Y32" s="665"/>
    </row>
    <row r="33" spans="3:25" ht="15.75" hidden="1" thickBot="1">
      <c r="C33" s="651" t="s">
        <v>930</v>
      </c>
      <c r="D33" s="912">
        <v>26823.020000000048</v>
      </c>
      <c r="E33" s="913">
        <v>43540.84</v>
      </c>
      <c r="F33" s="916">
        <f t="shared" ref="F33:F35" si="10">D33*9.41/83</f>
        <v>3041.0194963855479</v>
      </c>
      <c r="G33" s="915">
        <f t="shared" si="0"/>
        <v>0.61604277730976365</v>
      </c>
      <c r="H33" s="915">
        <f t="shared" si="1"/>
        <v>6.9842922102227423E-2</v>
      </c>
      <c r="I33" s="912">
        <v>94464.0000000008</v>
      </c>
      <c r="J33" s="912">
        <v>77234.78</v>
      </c>
      <c r="K33" s="916">
        <f t="shared" ref="K33:K35" si="11">I33*9.41/83</f>
        <v>10709.713734939851</v>
      </c>
      <c r="L33" s="915">
        <f t="shared" si="2"/>
        <v>1.2230759251207914</v>
      </c>
      <c r="M33" s="915">
        <f t="shared" ref="M33:M56" si="12">K33/J33</f>
        <v>0.1386643910287548</v>
      </c>
      <c r="N33" s="912">
        <v>99800</v>
      </c>
      <c r="O33" s="912">
        <v>77006.38</v>
      </c>
      <c r="P33" s="916">
        <f t="shared" ref="P33:P35" si="13">N33*9.41/83</f>
        <v>11314.674698795181</v>
      </c>
      <c r="Q33" s="915">
        <f t="shared" si="4"/>
        <v>1.2959965135356317</v>
      </c>
      <c r="R33" s="915">
        <f t="shared" ref="R33:R56" si="14">P33/O33</f>
        <v>0.14693165292012403</v>
      </c>
      <c r="S33" s="912">
        <f t="shared" si="9"/>
        <v>221087.02000000083</v>
      </c>
      <c r="T33" s="912">
        <f t="shared" si="9"/>
        <v>197782</v>
      </c>
      <c r="U33" s="915">
        <f t="shared" si="6"/>
        <v>0.12673250311009382</v>
      </c>
      <c r="V33" s="915">
        <f t="shared" si="7"/>
        <v>1.1178318552750039</v>
      </c>
      <c r="W33" s="911">
        <f t="shared" si="8"/>
        <v>221087.02000000083</v>
      </c>
      <c r="X33" s="917"/>
      <c r="Y33" s="665"/>
    </row>
    <row r="34" spans="3:25" ht="15.75" hidden="1" thickBot="1">
      <c r="C34" s="651" t="s">
        <v>931</v>
      </c>
      <c r="D34" s="912">
        <v>29193.639999999737</v>
      </c>
      <c r="E34" s="912">
        <v>45094.81</v>
      </c>
      <c r="F34" s="916">
        <f t="shared" si="10"/>
        <v>3309.784968674669</v>
      </c>
      <c r="G34" s="915">
        <f t="shared" si="0"/>
        <v>0.64738359026237691</v>
      </c>
      <c r="H34" s="915">
        <f t="shared" si="1"/>
        <v>7.339613957071045E-2</v>
      </c>
      <c r="I34" s="912">
        <v>94607.499999999243</v>
      </c>
      <c r="J34" s="912">
        <v>71214.539999999994</v>
      </c>
      <c r="K34" s="916">
        <f t="shared" si="11"/>
        <v>10725.982831325215</v>
      </c>
      <c r="L34" s="915">
        <f t="shared" si="2"/>
        <v>1.3284857277741211</v>
      </c>
      <c r="M34" s="915">
        <f t="shared" si="12"/>
        <v>0.15061506865487323</v>
      </c>
      <c r="N34" s="912">
        <v>108860</v>
      </c>
      <c r="O34" s="912">
        <v>111416.86</v>
      </c>
      <c r="P34" s="916">
        <f t="shared" si="13"/>
        <v>12341.838554216867</v>
      </c>
      <c r="Q34" s="915">
        <f t="shared" si="4"/>
        <v>0.97705140855701733</v>
      </c>
      <c r="R34" s="915">
        <f t="shared" si="14"/>
        <v>0.11077173198218714</v>
      </c>
      <c r="S34" s="912">
        <f t="shared" si="9"/>
        <v>232661.13999999897</v>
      </c>
      <c r="T34" s="912">
        <f t="shared" si="9"/>
        <v>227726.21</v>
      </c>
      <c r="U34" s="915">
        <f t="shared" si="6"/>
        <v>0.11583034888349809</v>
      </c>
      <c r="V34" s="915">
        <f t="shared" si="7"/>
        <v>1.0216704524261786</v>
      </c>
      <c r="W34" s="911">
        <f t="shared" si="8"/>
        <v>232661.13999999897</v>
      </c>
      <c r="X34" s="917"/>
      <c r="Y34" s="665"/>
    </row>
    <row r="35" spans="3:25" ht="15.75" hidden="1" thickBot="1">
      <c r="C35" s="651" t="s">
        <v>932</v>
      </c>
      <c r="D35" s="912">
        <v>18054.760000000024</v>
      </c>
      <c r="E35" s="912">
        <v>19390.11</v>
      </c>
      <c r="F35" s="916">
        <f t="shared" si="10"/>
        <v>2046.9312240963884</v>
      </c>
      <c r="G35" s="915">
        <f t="shared" si="0"/>
        <v>0.93113241750562648</v>
      </c>
      <c r="H35" s="915">
        <f t="shared" si="1"/>
        <v>0.10556573552684272</v>
      </c>
      <c r="I35" s="912">
        <v>54345.500000000444</v>
      </c>
      <c r="J35" s="912">
        <v>27667.87</v>
      </c>
      <c r="K35" s="916">
        <f t="shared" si="11"/>
        <v>6161.33921686752</v>
      </c>
      <c r="L35" s="915">
        <f t="shared" si="2"/>
        <v>1.9642097494313964</v>
      </c>
      <c r="M35" s="915">
        <f t="shared" si="12"/>
        <v>0.22268932219457155</v>
      </c>
      <c r="N35" s="912">
        <v>60520</v>
      </c>
      <c r="O35" s="912">
        <v>54002.5</v>
      </c>
      <c r="P35" s="916">
        <f t="shared" si="13"/>
        <v>6861.3638554216859</v>
      </c>
      <c r="Q35" s="915">
        <f t="shared" si="4"/>
        <v>1.1206888569973612</v>
      </c>
      <c r="R35" s="915">
        <f t="shared" si="14"/>
        <v>0.12705641137765264</v>
      </c>
      <c r="S35" s="912">
        <f t="shared" si="9"/>
        <v>132920.26000000047</v>
      </c>
      <c r="T35" s="912">
        <f t="shared" si="9"/>
        <v>101060.48</v>
      </c>
      <c r="U35" s="915">
        <f t="shared" si="6"/>
        <v>0.14911500812568468</v>
      </c>
      <c r="V35" s="915">
        <f t="shared" si="7"/>
        <v>1.315254588143659</v>
      </c>
      <c r="W35" s="911">
        <f t="shared" si="8"/>
        <v>132920.26000000047</v>
      </c>
      <c r="X35" s="917"/>
      <c r="Y35" s="665"/>
    </row>
    <row r="36" spans="3:25" ht="15.75" hidden="1" thickBot="1">
      <c r="C36" s="651" t="s">
        <v>933</v>
      </c>
      <c r="D36" s="912">
        <v>35476</v>
      </c>
      <c r="E36" s="912">
        <v>44627.97</v>
      </c>
      <c r="F36" s="916">
        <v>4243.41</v>
      </c>
      <c r="G36" s="915">
        <f t="shared" si="0"/>
        <v>0.79492748605863095</v>
      </c>
      <c r="H36" s="915">
        <f t="shared" si="1"/>
        <v>9.5084091882288169E-2</v>
      </c>
      <c r="I36" s="912">
        <v>115353.49999999994</v>
      </c>
      <c r="J36" s="912">
        <v>78658.09</v>
      </c>
      <c r="K36" s="916">
        <v>13778.99</v>
      </c>
      <c r="L36" s="915">
        <f t="shared" si="2"/>
        <v>1.4665179385871172</v>
      </c>
      <c r="M36" s="915">
        <f t="shared" si="12"/>
        <v>0.17517575115286935</v>
      </c>
      <c r="N36" s="912">
        <v>130880</v>
      </c>
      <c r="O36" s="912">
        <v>116173.53</v>
      </c>
      <c r="P36" s="916">
        <v>15484.43</v>
      </c>
      <c r="Q36" s="915">
        <f t="shared" si="4"/>
        <v>1.1265905408917161</v>
      </c>
      <c r="R36" s="915">
        <f t="shared" si="14"/>
        <v>0.13328707494727932</v>
      </c>
      <c r="S36" s="912">
        <f t="shared" si="9"/>
        <v>281709.49999999994</v>
      </c>
      <c r="T36" s="912">
        <f t="shared" si="9"/>
        <v>239459.59</v>
      </c>
      <c r="U36" s="915">
        <f t="shared" si="6"/>
        <v>0.13992686615725017</v>
      </c>
      <c r="V36" s="915">
        <f t="shared" si="7"/>
        <v>1.1764385798873203</v>
      </c>
      <c r="W36" s="911">
        <f t="shared" si="8"/>
        <v>281709.49999999994</v>
      </c>
      <c r="X36" s="917"/>
      <c r="Y36" s="665"/>
    </row>
    <row r="37" spans="3:25" ht="15.75" hidden="1" thickBot="1">
      <c r="C37" s="651" t="s">
        <v>934</v>
      </c>
      <c r="D37" s="912">
        <v>34628.59999999994</v>
      </c>
      <c r="E37" s="912">
        <v>40971.08</v>
      </c>
      <c r="F37" s="916">
        <v>4097.8900000000003</v>
      </c>
      <c r="G37" s="915">
        <f t="shared" si="0"/>
        <v>0.84519617251973678</v>
      </c>
      <c r="H37" s="915">
        <f t="shared" si="1"/>
        <v>0.10001908663379144</v>
      </c>
      <c r="I37" s="912">
        <v>145016.99999999956</v>
      </c>
      <c r="J37" s="912">
        <v>124698</v>
      </c>
      <c r="K37" s="916">
        <v>16390.28</v>
      </c>
      <c r="L37" s="915">
        <f t="shared" si="2"/>
        <v>1.1629456767550366</v>
      </c>
      <c r="M37" s="915">
        <f t="shared" si="12"/>
        <v>0.13143979855330479</v>
      </c>
      <c r="N37" s="912">
        <v>166560</v>
      </c>
      <c r="O37" s="912">
        <v>188868.23</v>
      </c>
      <c r="P37" s="916">
        <v>19524.79</v>
      </c>
      <c r="Q37" s="915">
        <f t="shared" si="4"/>
        <v>0.88188468754114968</v>
      </c>
      <c r="R37" s="915">
        <f t="shared" si="14"/>
        <v>0.10337784178948466</v>
      </c>
      <c r="S37" s="912">
        <f t="shared" si="9"/>
        <v>346205.59999999951</v>
      </c>
      <c r="T37" s="912">
        <f t="shared" si="9"/>
        <v>354537.31000000006</v>
      </c>
      <c r="U37" s="915">
        <f t="shared" si="6"/>
        <v>0.11285965925560837</v>
      </c>
      <c r="V37" s="915">
        <f t="shared" si="7"/>
        <v>0.97649976528563232</v>
      </c>
      <c r="W37" s="911">
        <f t="shared" si="8"/>
        <v>346205.59999999951</v>
      </c>
      <c r="X37" s="917"/>
      <c r="Y37" s="665"/>
    </row>
    <row r="38" spans="3:25" ht="15.75" hidden="1" thickBot="1">
      <c r="C38" s="651" t="s">
        <v>935</v>
      </c>
      <c r="D38" s="912">
        <v>32122.679999999833</v>
      </c>
      <c r="E38" s="912">
        <v>44173.9</v>
      </c>
      <c r="F38" s="916">
        <v>3746.16</v>
      </c>
      <c r="G38" s="915">
        <f t="shared" si="0"/>
        <v>0.72718686826383527</v>
      </c>
      <c r="H38" s="915">
        <f t="shared" si="1"/>
        <v>8.4804828190402012E-2</v>
      </c>
      <c r="I38" s="912">
        <v>133537.00000000067</v>
      </c>
      <c r="J38" s="912">
        <v>85786</v>
      </c>
      <c r="K38" s="916">
        <v>14612.43</v>
      </c>
      <c r="L38" s="915">
        <f t="shared" si="2"/>
        <v>1.5566292868300267</v>
      </c>
      <c r="M38" s="915">
        <f t="shared" si="12"/>
        <v>0.17033583568414426</v>
      </c>
      <c r="N38" s="912">
        <v>157320</v>
      </c>
      <c r="O38" s="912">
        <v>196855.52</v>
      </c>
      <c r="P38" s="916">
        <v>18478.46</v>
      </c>
      <c r="Q38" s="915">
        <f t="shared" si="4"/>
        <v>0.79916478847024464</v>
      </c>
      <c r="R38" s="915">
        <f t="shared" si="14"/>
        <v>9.3868132323645284E-2</v>
      </c>
      <c r="S38" s="912">
        <f t="shared" si="9"/>
        <v>322979.68000000052</v>
      </c>
      <c r="T38" s="912">
        <f t="shared" si="9"/>
        <v>326815.42</v>
      </c>
      <c r="U38" s="915">
        <f t="shared" si="6"/>
        <v>0.11271515279175016</v>
      </c>
      <c r="V38" s="915">
        <f t="shared" si="7"/>
        <v>0.98826328329306046</v>
      </c>
      <c r="W38" s="911">
        <f t="shared" si="8"/>
        <v>322979.68000000052</v>
      </c>
      <c r="X38" s="917"/>
      <c r="Y38" s="665"/>
    </row>
    <row r="39" spans="3:25" ht="15.75" hidden="1" thickBot="1">
      <c r="C39" s="651" t="s">
        <v>936</v>
      </c>
      <c r="D39" s="912">
        <v>29496.220000000227</v>
      </c>
      <c r="E39" s="912">
        <v>38292</v>
      </c>
      <c r="F39" s="916">
        <v>3564.53</v>
      </c>
      <c r="G39" s="915">
        <f t="shared" si="0"/>
        <v>0.77029719001358576</v>
      </c>
      <c r="H39" s="915">
        <f t="shared" si="1"/>
        <v>9.3088112399456815E-2</v>
      </c>
      <c r="I39" s="912">
        <v>121052.49999999945</v>
      </c>
      <c r="J39" s="912">
        <v>67075</v>
      </c>
      <c r="K39" s="916">
        <v>13824.28</v>
      </c>
      <c r="L39" s="915">
        <f t="shared" si="2"/>
        <v>1.8047335072679753</v>
      </c>
      <c r="M39" s="915">
        <f t="shared" si="12"/>
        <v>0.20610182631382781</v>
      </c>
      <c r="N39" s="912">
        <v>122980</v>
      </c>
      <c r="O39" s="912">
        <v>142324.5</v>
      </c>
      <c r="P39" s="916">
        <v>14589.84</v>
      </c>
      <c r="Q39" s="915">
        <f t="shared" si="4"/>
        <v>0.86408172872555322</v>
      </c>
      <c r="R39" s="915">
        <f t="shared" si="14"/>
        <v>0.10251109260879188</v>
      </c>
      <c r="S39" s="912">
        <f t="shared" si="9"/>
        <v>273528.71999999968</v>
      </c>
      <c r="T39" s="912">
        <f t="shared" si="9"/>
        <v>247691.5</v>
      </c>
      <c r="U39" s="915">
        <f t="shared" si="6"/>
        <v>0.12910677193202028</v>
      </c>
      <c r="V39" s="915">
        <f t="shared" si="7"/>
        <v>1.1043120979121193</v>
      </c>
      <c r="W39" s="911">
        <f t="shared" si="8"/>
        <v>273528.71999999968</v>
      </c>
      <c r="X39" s="917"/>
      <c r="Y39" s="665"/>
    </row>
    <row r="40" spans="3:25" ht="15.75" hidden="1" thickBot="1">
      <c r="C40" s="651" t="s">
        <v>937</v>
      </c>
      <c r="D40" s="912">
        <v>31897.179999999833</v>
      </c>
      <c r="E40" s="912">
        <v>35691</v>
      </c>
      <c r="F40" s="916">
        <v>3745.6</v>
      </c>
      <c r="G40" s="915">
        <f t="shared" si="0"/>
        <v>0.89370373483510779</v>
      </c>
      <c r="H40" s="915">
        <f t="shared" si="1"/>
        <v>0.10494522428623462</v>
      </c>
      <c r="I40" s="912">
        <v>142762.00000000067</v>
      </c>
      <c r="J40" s="912">
        <v>98741</v>
      </c>
      <c r="K40" s="916">
        <v>16231.75</v>
      </c>
      <c r="L40" s="915">
        <f t="shared" si="2"/>
        <v>1.4458229104424776</v>
      </c>
      <c r="M40" s="915">
        <f t="shared" si="12"/>
        <v>0.16438713401727753</v>
      </c>
      <c r="N40" s="912">
        <v>143900</v>
      </c>
      <c r="O40" s="912">
        <v>188415.11</v>
      </c>
      <c r="P40" s="916">
        <v>16958.8</v>
      </c>
      <c r="Q40" s="915">
        <f t="shared" si="4"/>
        <v>0.7637391714496784</v>
      </c>
      <c r="R40" s="915">
        <f t="shared" si="14"/>
        <v>9.0007643229887455E-2</v>
      </c>
      <c r="S40" s="912">
        <f t="shared" si="9"/>
        <v>318559.18000000052</v>
      </c>
      <c r="T40" s="912">
        <f t="shared" si="9"/>
        <v>322847.11</v>
      </c>
      <c r="U40" s="915">
        <f t="shared" si="6"/>
        <v>0.11440755966500675</v>
      </c>
      <c r="V40" s="915">
        <f t="shared" si="7"/>
        <v>0.98671838815593094</v>
      </c>
      <c r="W40" s="911">
        <f t="shared" si="8"/>
        <v>318559.18000000052</v>
      </c>
      <c r="X40" s="917"/>
      <c r="Y40" s="665"/>
    </row>
    <row r="41" spans="3:25" ht="15.75" hidden="1" thickBot="1">
      <c r="C41" s="918" t="s">
        <v>938</v>
      </c>
      <c r="D41" s="919">
        <v>31196.080000000191</v>
      </c>
      <c r="E41" s="919">
        <v>33784.480000000003</v>
      </c>
      <c r="F41" s="920">
        <v>3818.96</v>
      </c>
      <c r="G41" s="921">
        <f t="shared" si="0"/>
        <v>0.92338493888318507</v>
      </c>
      <c r="H41" s="921">
        <f t="shared" si="1"/>
        <v>0.11303888649462711</v>
      </c>
      <c r="I41" s="919">
        <v>157316.99999999953</v>
      </c>
      <c r="J41" s="919">
        <v>120516</v>
      </c>
      <c r="K41" s="920">
        <v>17835.21</v>
      </c>
      <c r="L41" s="921">
        <f t="shared" si="2"/>
        <v>1.305361943642334</v>
      </c>
      <c r="M41" s="921">
        <f t="shared" si="12"/>
        <v>0.14799039131733546</v>
      </c>
      <c r="N41" s="919">
        <v>127220</v>
      </c>
      <c r="O41" s="919">
        <v>124348.5</v>
      </c>
      <c r="P41" s="920">
        <v>15069.96</v>
      </c>
      <c r="Q41" s="921">
        <f t="shared" si="4"/>
        <v>1.0230923573665947</v>
      </c>
      <c r="R41" s="921">
        <f t="shared" si="14"/>
        <v>0.12119132920783121</v>
      </c>
      <c r="S41" s="919">
        <f t="shared" si="9"/>
        <v>315733.07999999973</v>
      </c>
      <c r="T41" s="919">
        <f t="shared" si="9"/>
        <v>278648.98</v>
      </c>
      <c r="U41" s="921">
        <f t="shared" si="6"/>
        <v>0.13179352029208935</v>
      </c>
      <c r="V41" s="921">
        <f t="shared" si="7"/>
        <v>1.1330853606569804</v>
      </c>
      <c r="W41" s="911">
        <f t="shared" si="8"/>
        <v>315733.07999999973</v>
      </c>
      <c r="X41" s="917"/>
      <c r="Y41" s="665"/>
    </row>
    <row r="42" spans="3:25" ht="15.75" hidden="1" thickBot="1">
      <c r="C42" s="651" t="s">
        <v>939</v>
      </c>
      <c r="D42" s="912">
        <v>20900</v>
      </c>
      <c r="E42" s="912">
        <v>22379.18</v>
      </c>
      <c r="F42" s="916">
        <v>2592.79</v>
      </c>
      <c r="G42" s="915">
        <f t="shared" si="0"/>
        <v>0.93390374446248703</v>
      </c>
      <c r="H42" s="915">
        <f t="shared" si="1"/>
        <v>0.11585723873707615</v>
      </c>
      <c r="I42" s="912">
        <v>138240</v>
      </c>
      <c r="J42" s="912">
        <v>103868</v>
      </c>
      <c r="K42" s="916">
        <v>16118.5</v>
      </c>
      <c r="L42" s="915">
        <f t="shared" si="2"/>
        <v>1.3309200138637503</v>
      </c>
      <c r="M42" s="915">
        <f t="shared" si="12"/>
        <v>0.15518253937690146</v>
      </c>
      <c r="N42" s="912">
        <v>84720</v>
      </c>
      <c r="O42" s="912">
        <v>56964.91</v>
      </c>
      <c r="P42" s="916">
        <v>10257.31</v>
      </c>
      <c r="Q42" s="915">
        <f t="shared" si="4"/>
        <v>1.4872313499661458</v>
      </c>
      <c r="R42" s="915">
        <f t="shared" si="14"/>
        <v>0.18006365673183716</v>
      </c>
      <c r="S42" s="912">
        <f t="shared" si="9"/>
        <v>243860</v>
      </c>
      <c r="T42" s="912">
        <f t="shared" si="9"/>
        <v>183212.09</v>
      </c>
      <c r="U42" s="915">
        <f t="shared" si="6"/>
        <v>0.15811511128987174</v>
      </c>
      <c r="V42" s="915">
        <f t="shared" si="7"/>
        <v>1.3310256981403357</v>
      </c>
      <c r="W42" s="911">
        <f t="shared" si="8"/>
        <v>243860</v>
      </c>
      <c r="X42" s="917"/>
      <c r="Y42" s="665"/>
    </row>
    <row r="43" spans="3:25" ht="15.75" hidden="1" thickBot="1">
      <c r="C43" s="651" t="s">
        <v>940</v>
      </c>
      <c r="D43" s="912">
        <v>26914.86</v>
      </c>
      <c r="E43" s="912">
        <v>48900</v>
      </c>
      <c r="F43" s="914">
        <v>3273.89</v>
      </c>
      <c r="G43" s="915">
        <f t="shared" si="0"/>
        <v>0.55040613496932511</v>
      </c>
      <c r="H43" s="915">
        <f t="shared" si="1"/>
        <v>6.6950715746421266E-2</v>
      </c>
      <c r="I43" s="912">
        <v>148040</v>
      </c>
      <c r="J43" s="912">
        <v>127923</v>
      </c>
      <c r="K43" s="914">
        <v>17228.25</v>
      </c>
      <c r="L43" s="915">
        <f t="shared" si="2"/>
        <v>1.1572586634147104</v>
      </c>
      <c r="M43" s="915">
        <f t="shared" si="12"/>
        <v>0.13467671958912783</v>
      </c>
      <c r="N43" s="912">
        <v>108260</v>
      </c>
      <c r="O43" s="912">
        <v>119664</v>
      </c>
      <c r="P43" s="914">
        <v>12922.96</v>
      </c>
      <c r="Q43" s="915">
        <f t="shared" si="4"/>
        <v>0.90469982617997058</v>
      </c>
      <c r="R43" s="915">
        <f t="shared" si="14"/>
        <v>0.10799371573739804</v>
      </c>
      <c r="S43" s="912">
        <f t="shared" si="9"/>
        <v>283214.86</v>
      </c>
      <c r="T43" s="912">
        <f t="shared" si="9"/>
        <v>296487</v>
      </c>
      <c r="U43" s="915">
        <f t="shared" si="6"/>
        <v>0.11273715205051149</v>
      </c>
      <c r="V43" s="915">
        <f t="shared" si="7"/>
        <v>0.95523533915483638</v>
      </c>
      <c r="W43" s="911">
        <f t="shared" si="8"/>
        <v>283214.86</v>
      </c>
      <c r="X43" s="917"/>
      <c r="Y43" s="665"/>
    </row>
    <row r="44" spans="3:25" ht="15.75" hidden="1" thickBot="1">
      <c r="C44" s="665"/>
      <c r="D44" s="922"/>
      <c r="E44" s="922"/>
      <c r="F44" s="923"/>
      <c r="G44" s="924"/>
      <c r="H44" s="924"/>
      <c r="I44" s="922"/>
      <c r="J44" s="922"/>
      <c r="K44" s="923"/>
      <c r="L44" s="924"/>
      <c r="M44" s="924"/>
      <c r="N44" s="922"/>
      <c r="O44" s="922"/>
      <c r="P44" s="923"/>
      <c r="Q44" s="924"/>
      <c r="R44" s="924"/>
      <c r="S44" s="922"/>
      <c r="T44" s="922"/>
      <c r="U44" s="924"/>
      <c r="V44" s="925">
        <f>AVERAGE(V32:V43)</f>
        <v>1.0937050813972775</v>
      </c>
      <c r="W44" s="911"/>
      <c r="X44" s="917"/>
      <c r="Y44" s="665"/>
    </row>
    <row r="45" spans="3:25" ht="15.75" hidden="1" thickBot="1">
      <c r="C45" s="651" t="s">
        <v>941</v>
      </c>
      <c r="D45" s="912">
        <v>26170</v>
      </c>
      <c r="E45" s="912">
        <v>47650.59</v>
      </c>
      <c r="F45" s="916">
        <v>3189.57</v>
      </c>
      <c r="G45" s="915">
        <f t="shared" si="0"/>
        <v>0.54920621129769853</v>
      </c>
      <c r="H45" s="915">
        <f t="shared" si="1"/>
        <v>6.6936631844432576E-2</v>
      </c>
      <c r="I45" s="912">
        <v>133840</v>
      </c>
      <c r="J45" s="912">
        <v>111360.84</v>
      </c>
      <c r="K45" s="916">
        <v>15620.25</v>
      </c>
      <c r="L45" s="915">
        <f t="shared" ref="L45:L56" si="15">I45/J45</f>
        <v>1.2018587503470699</v>
      </c>
      <c r="M45" s="915">
        <f t="shared" si="12"/>
        <v>0.14026699152053809</v>
      </c>
      <c r="N45" s="912">
        <v>130460</v>
      </c>
      <c r="O45" s="912">
        <v>159071</v>
      </c>
      <c r="P45" s="916">
        <v>15436.86</v>
      </c>
      <c r="Q45" s="915">
        <f t="shared" ref="Q45:Q56" si="16">N45/O45</f>
        <v>0.8201369199917018</v>
      </c>
      <c r="R45" s="915">
        <f t="shared" si="14"/>
        <v>9.704383577144797E-2</v>
      </c>
      <c r="S45" s="912">
        <f t="shared" si="9"/>
        <v>290470</v>
      </c>
      <c r="T45" s="912">
        <f t="shared" si="9"/>
        <v>318082.43</v>
      </c>
      <c r="U45" s="915">
        <f t="shared" si="6"/>
        <v>0.10766605373330429</v>
      </c>
      <c r="V45" s="915">
        <f t="shared" si="7"/>
        <v>0.91319096122347909</v>
      </c>
      <c r="W45" s="911">
        <f t="shared" si="8"/>
        <v>290470</v>
      </c>
      <c r="X45" s="917"/>
      <c r="Y45" s="665"/>
    </row>
    <row r="46" spans="3:25" ht="15.75" hidden="1" thickBot="1">
      <c r="C46" s="651" t="s">
        <v>942</v>
      </c>
      <c r="D46" s="912">
        <v>26783</v>
      </c>
      <c r="E46" s="912">
        <v>39540</v>
      </c>
      <c r="F46" s="916">
        <v>3259</v>
      </c>
      <c r="G46" s="915">
        <f t="shared" si="0"/>
        <v>0.67736469398077892</v>
      </c>
      <c r="H46" s="915">
        <f t="shared" si="1"/>
        <v>8.2422862923621651E-2</v>
      </c>
      <c r="I46" s="912">
        <v>148240</v>
      </c>
      <c r="J46" s="912">
        <v>139195</v>
      </c>
      <c r="K46" s="916">
        <v>17250</v>
      </c>
      <c r="L46" s="915">
        <f t="shared" si="15"/>
        <v>1.064980782355688</v>
      </c>
      <c r="M46" s="915">
        <f t="shared" si="12"/>
        <v>0.12392686518912317</v>
      </c>
      <c r="N46" s="912">
        <v>116340</v>
      </c>
      <c r="O46" s="912">
        <v>154733</v>
      </c>
      <c r="P46" s="916">
        <v>13837</v>
      </c>
      <c r="Q46" s="915">
        <f t="shared" si="16"/>
        <v>0.75187581188240393</v>
      </c>
      <c r="R46" s="915">
        <f t="shared" si="14"/>
        <v>8.9425009532549615E-2</v>
      </c>
      <c r="S46" s="912">
        <f t="shared" si="9"/>
        <v>291363</v>
      </c>
      <c r="T46" s="912">
        <f t="shared" si="9"/>
        <v>333468</v>
      </c>
      <c r="U46" s="915">
        <f t="shared" si="6"/>
        <v>0.1029963894586587</v>
      </c>
      <c r="V46" s="915">
        <f t="shared" si="7"/>
        <v>0.8737360106516967</v>
      </c>
      <c r="W46" s="911">
        <f t="shared" si="8"/>
        <v>291363</v>
      </c>
      <c r="X46" s="917"/>
      <c r="Y46" s="665"/>
    </row>
    <row r="47" spans="3:25" ht="15.75" hidden="1" thickBot="1">
      <c r="C47" s="651" t="s">
        <v>943</v>
      </c>
      <c r="D47" s="912">
        <v>24272.82</v>
      </c>
      <c r="E47" s="912">
        <v>29734.55</v>
      </c>
      <c r="F47" s="916">
        <v>2974.71</v>
      </c>
      <c r="G47" s="915">
        <f t="shared" si="0"/>
        <v>0.816317045322697</v>
      </c>
      <c r="H47" s="915">
        <f t="shared" si="1"/>
        <v>0.10004220679310769</v>
      </c>
      <c r="I47" s="912">
        <v>189140</v>
      </c>
      <c r="J47" s="912">
        <v>150479</v>
      </c>
      <c r="K47" s="916">
        <v>21882.37</v>
      </c>
      <c r="L47" s="915">
        <f t="shared" si="15"/>
        <v>1.2569195701725822</v>
      </c>
      <c r="M47" s="915">
        <f t="shared" si="12"/>
        <v>0.14541809820639423</v>
      </c>
      <c r="N47" s="912">
        <v>164120</v>
      </c>
      <c r="O47" s="912">
        <v>228718</v>
      </c>
      <c r="P47" s="916">
        <v>19248</v>
      </c>
      <c r="Q47" s="915">
        <f t="shared" si="16"/>
        <v>0.71756486153254229</v>
      </c>
      <c r="R47" s="915">
        <f t="shared" si="14"/>
        <v>8.4156034942593064E-2</v>
      </c>
      <c r="S47" s="912">
        <f t="shared" si="9"/>
        <v>377532.82</v>
      </c>
      <c r="T47" s="912">
        <f t="shared" si="9"/>
        <v>408931.55</v>
      </c>
      <c r="U47" s="915">
        <f t="shared" si="6"/>
        <v>0.10785443187252244</v>
      </c>
      <c r="V47" s="915">
        <f t="shared" si="7"/>
        <v>0.92321763874663132</v>
      </c>
      <c r="W47" s="911">
        <f t="shared" si="8"/>
        <v>377532.82</v>
      </c>
      <c r="X47" s="917"/>
      <c r="Y47" s="665"/>
    </row>
    <row r="48" spans="3:25" ht="15.75" hidden="1" thickBot="1">
      <c r="C48" s="651" t="s">
        <v>944</v>
      </c>
      <c r="D48" s="912">
        <v>38301.379999999997</v>
      </c>
      <c r="E48" s="912">
        <v>66778</v>
      </c>
      <c r="F48" s="916">
        <v>4563.34</v>
      </c>
      <c r="G48" s="915">
        <f t="shared" si="0"/>
        <v>0.57356285004043239</v>
      </c>
      <c r="H48" s="915">
        <f t="shared" si="1"/>
        <v>6.8335978915211593E-2</v>
      </c>
      <c r="I48" s="912">
        <v>193880</v>
      </c>
      <c r="J48" s="912">
        <v>154314</v>
      </c>
      <c r="K48" s="916">
        <v>22419.119999999999</v>
      </c>
      <c r="L48" s="915">
        <f t="shared" si="15"/>
        <v>1.2563992897598404</v>
      </c>
      <c r="M48" s="915">
        <f t="shared" si="12"/>
        <v>0.14528247599051283</v>
      </c>
      <c r="N48" s="912">
        <v>170160</v>
      </c>
      <c r="O48" s="912">
        <v>153068</v>
      </c>
      <c r="P48" s="916">
        <v>19932.439999999999</v>
      </c>
      <c r="Q48" s="915">
        <f t="shared" si="16"/>
        <v>1.1116627903938119</v>
      </c>
      <c r="R48" s="915">
        <f t="shared" si="14"/>
        <v>0.13021951028301146</v>
      </c>
      <c r="S48" s="912">
        <f t="shared" si="9"/>
        <v>402341.38</v>
      </c>
      <c r="T48" s="912">
        <f t="shared" si="9"/>
        <v>374160</v>
      </c>
      <c r="U48" s="915">
        <f t="shared" si="6"/>
        <v>0.1253872674791533</v>
      </c>
      <c r="V48" s="915">
        <f t="shared" si="7"/>
        <v>1.0753190613641224</v>
      </c>
      <c r="W48" s="911">
        <f t="shared" si="8"/>
        <v>402341.38</v>
      </c>
      <c r="X48" s="917"/>
      <c r="Y48" s="665"/>
    </row>
    <row r="49" spans="3:25" ht="15.75" hidden="1" thickBot="1">
      <c r="C49" s="651" t="s">
        <v>945</v>
      </c>
      <c r="D49" s="912">
        <v>35487.14</v>
      </c>
      <c r="E49" s="912">
        <v>47396.71</v>
      </c>
      <c r="F49" s="916">
        <v>4244.6099999999997</v>
      </c>
      <c r="G49" s="915">
        <f t="shared" si="0"/>
        <v>0.74872580818373258</v>
      </c>
      <c r="H49" s="915">
        <f t="shared" si="1"/>
        <v>8.9554950122065435E-2</v>
      </c>
      <c r="I49" s="912">
        <v>146340</v>
      </c>
      <c r="J49" s="912">
        <v>103863</v>
      </c>
      <c r="K49" s="916">
        <v>17035.740000000002</v>
      </c>
      <c r="L49" s="915">
        <f t="shared" si="15"/>
        <v>1.4089714335230064</v>
      </c>
      <c r="M49" s="915">
        <f t="shared" si="12"/>
        <v>0.16402125877357673</v>
      </c>
      <c r="N49" s="912">
        <v>154280</v>
      </c>
      <c r="O49" s="912">
        <v>152332.14000000001</v>
      </c>
      <c r="P49" s="916">
        <v>18134.22</v>
      </c>
      <c r="Q49" s="915">
        <f t="shared" si="16"/>
        <v>1.0127869273024064</v>
      </c>
      <c r="R49" s="915">
        <f t="shared" si="14"/>
        <v>0.11904395224802855</v>
      </c>
      <c r="S49" s="912">
        <f t="shared" si="9"/>
        <v>336107.14</v>
      </c>
      <c r="T49" s="912">
        <f t="shared" si="9"/>
        <v>303591.84999999998</v>
      </c>
      <c r="U49" s="915">
        <f t="shared" si="6"/>
        <v>0.12982749701614194</v>
      </c>
      <c r="V49" s="915">
        <f t="shared" si="7"/>
        <v>1.1071019857746511</v>
      </c>
      <c r="W49" s="911">
        <f t="shared" si="8"/>
        <v>336107.14</v>
      </c>
      <c r="X49" s="917"/>
      <c r="Y49" s="665"/>
    </row>
    <row r="50" spans="3:25" ht="15.75" hidden="1" thickBot="1">
      <c r="C50" s="651" t="s">
        <v>946</v>
      </c>
      <c r="D50" s="912">
        <v>35607.68</v>
      </c>
      <c r="E50" s="912">
        <v>58452</v>
      </c>
      <c r="F50" s="916">
        <v>4258</v>
      </c>
      <c r="G50" s="915">
        <f t="shared" si="0"/>
        <v>0.60917812906316293</v>
      </c>
      <c r="H50" s="915">
        <f t="shared" si="1"/>
        <v>7.2846095941969474E-2</v>
      </c>
      <c r="I50" s="912">
        <v>174300</v>
      </c>
      <c r="J50" s="912">
        <v>120768</v>
      </c>
      <c r="K50" s="916">
        <v>20201.91</v>
      </c>
      <c r="L50" s="915">
        <f t="shared" si="15"/>
        <v>1.4432631160572338</v>
      </c>
      <c r="M50" s="915">
        <f t="shared" si="12"/>
        <v>0.16727866653418125</v>
      </c>
      <c r="N50" s="912">
        <v>159020</v>
      </c>
      <c r="O50" s="912">
        <v>178332</v>
      </c>
      <c r="P50" s="916">
        <v>18670.96</v>
      </c>
      <c r="Q50" s="915">
        <f t="shared" si="16"/>
        <v>0.89170760155216111</v>
      </c>
      <c r="R50" s="915">
        <f t="shared" si="14"/>
        <v>0.10469775474956822</v>
      </c>
      <c r="S50" s="912">
        <f t="shared" si="9"/>
        <v>368927.68</v>
      </c>
      <c r="T50" s="912">
        <f t="shared" si="9"/>
        <v>357552</v>
      </c>
      <c r="U50" s="915">
        <f t="shared" si="6"/>
        <v>0.12062824428334898</v>
      </c>
      <c r="V50" s="915">
        <f t="shared" si="7"/>
        <v>1.0318154562133619</v>
      </c>
      <c r="W50" s="911">
        <f t="shared" si="8"/>
        <v>368927.68</v>
      </c>
      <c r="X50" s="917"/>
      <c r="Y50" s="665"/>
    </row>
    <row r="51" spans="3:25" ht="15.75" hidden="1" thickBot="1">
      <c r="C51" s="499" t="s">
        <v>947</v>
      </c>
      <c r="D51" s="907">
        <v>26894.36</v>
      </c>
      <c r="E51" s="907">
        <v>41804</v>
      </c>
      <c r="F51" s="926">
        <v>3271.57</v>
      </c>
      <c r="G51" s="910">
        <f t="shared" si="0"/>
        <v>0.6433441775906612</v>
      </c>
      <c r="H51" s="910">
        <f t="shared" si="1"/>
        <v>7.8259735910439193E-2</v>
      </c>
      <c r="I51" s="907">
        <v>118040</v>
      </c>
      <c r="J51" s="907">
        <v>83186</v>
      </c>
      <c r="K51" s="926">
        <v>13967.43</v>
      </c>
      <c r="L51" s="910">
        <f t="shared" si="15"/>
        <v>1.4189887721491596</v>
      </c>
      <c r="M51" s="910">
        <f t="shared" si="12"/>
        <v>0.16790601783954032</v>
      </c>
      <c r="N51" s="907">
        <v>116920</v>
      </c>
      <c r="O51" s="907">
        <v>134055.5</v>
      </c>
      <c r="P51" s="926">
        <v>13903.61</v>
      </c>
      <c r="Q51" s="910">
        <f t="shared" si="16"/>
        <v>0.87217607632659611</v>
      </c>
      <c r="R51" s="910">
        <f t="shared" si="14"/>
        <v>0.10371532686088972</v>
      </c>
      <c r="S51" s="907">
        <f t="shared" si="9"/>
        <v>261854.36</v>
      </c>
      <c r="T51" s="907">
        <f t="shared" si="9"/>
        <v>259045.5</v>
      </c>
      <c r="U51" s="910">
        <f t="shared" si="6"/>
        <v>0.12022061761350805</v>
      </c>
      <c r="V51" s="910">
        <f t="shared" si="7"/>
        <v>1.0108431144335648</v>
      </c>
      <c r="W51" s="911">
        <f t="shared" si="8"/>
        <v>261854.36</v>
      </c>
      <c r="X51" s="917"/>
      <c r="Y51" s="665"/>
    </row>
    <row r="52" spans="3:25" ht="15.75" hidden="1" thickBot="1">
      <c r="C52" s="651" t="s">
        <v>948</v>
      </c>
      <c r="D52" s="912">
        <v>39448.559999999998</v>
      </c>
      <c r="E52" s="912">
        <v>58281.52</v>
      </c>
      <c r="F52" s="916">
        <v>4684.82</v>
      </c>
      <c r="G52" s="915">
        <f t="shared" si="0"/>
        <v>0.67686223694920788</v>
      </c>
      <c r="H52" s="915">
        <f t="shared" si="1"/>
        <v>8.0382598120296106E-2</v>
      </c>
      <c r="I52" s="912">
        <v>191760</v>
      </c>
      <c r="J52" s="912">
        <v>135408</v>
      </c>
      <c r="K52" s="916">
        <v>22139.49</v>
      </c>
      <c r="L52" s="915">
        <f t="shared" si="15"/>
        <v>1.4161644806806097</v>
      </c>
      <c r="M52" s="915">
        <f t="shared" si="12"/>
        <v>0.16350208259482454</v>
      </c>
      <c r="N52" s="912">
        <v>194900</v>
      </c>
      <c r="O52" s="912">
        <v>215641.54</v>
      </c>
      <c r="P52" s="916">
        <v>22693.42</v>
      </c>
      <c r="Q52" s="915">
        <f t="shared" si="16"/>
        <v>0.90381472883193092</v>
      </c>
      <c r="R52" s="915">
        <f t="shared" si="14"/>
        <v>0.10523677395366401</v>
      </c>
      <c r="S52" s="912">
        <f t="shared" si="9"/>
        <v>426108.56</v>
      </c>
      <c r="T52" s="912">
        <f t="shared" si="9"/>
        <v>409331.06</v>
      </c>
      <c r="U52" s="915">
        <f t="shared" si="6"/>
        <v>0.12097232494401963</v>
      </c>
      <c r="V52" s="915">
        <f t="shared" si="7"/>
        <v>1.0409876054849099</v>
      </c>
      <c r="W52" s="911">
        <f t="shared" si="8"/>
        <v>426108.56</v>
      </c>
      <c r="X52" s="917"/>
      <c r="Y52" s="665"/>
    </row>
    <row r="53" spans="3:25" ht="15.75" hidden="1" thickBot="1">
      <c r="C53" s="651" t="s">
        <v>949</v>
      </c>
      <c r="D53" s="912">
        <v>43642.86</v>
      </c>
      <c r="E53" s="912">
        <v>61734.66</v>
      </c>
      <c r="F53" s="916">
        <v>5350.5</v>
      </c>
      <c r="G53" s="915">
        <f t="shared" si="0"/>
        <v>0.70694258298336787</v>
      </c>
      <c r="H53" s="915">
        <f t="shared" si="1"/>
        <v>8.6669303759022889E-2</v>
      </c>
      <c r="I53" s="912">
        <v>171140</v>
      </c>
      <c r="J53" s="912">
        <v>139596</v>
      </c>
      <c r="K53" s="916">
        <v>20544.2</v>
      </c>
      <c r="L53" s="915">
        <f t="shared" si="15"/>
        <v>1.2259663600676236</v>
      </c>
      <c r="M53" s="915">
        <f t="shared" si="12"/>
        <v>0.14716897332301784</v>
      </c>
      <c r="N53" s="912">
        <v>181100</v>
      </c>
      <c r="O53" s="912">
        <v>174856.56</v>
      </c>
      <c r="P53" s="916">
        <v>21918.240000000002</v>
      </c>
      <c r="Q53" s="915">
        <f t="shared" si="16"/>
        <v>1.0357060667326408</v>
      </c>
      <c r="R53" s="915">
        <f t="shared" si="14"/>
        <v>0.12534982959747121</v>
      </c>
      <c r="S53" s="912">
        <f t="shared" si="9"/>
        <v>395882.86</v>
      </c>
      <c r="T53" s="912">
        <f t="shared" si="9"/>
        <v>376187.22</v>
      </c>
      <c r="U53" s="915">
        <f t="shared" si="6"/>
        <v>0.12709878873609795</v>
      </c>
      <c r="V53" s="915">
        <f t="shared" si="7"/>
        <v>1.0523559519113914</v>
      </c>
      <c r="W53" s="911">
        <f t="shared" si="8"/>
        <v>395882.86</v>
      </c>
      <c r="X53" s="917"/>
      <c r="Y53" s="665"/>
    </row>
    <row r="54" spans="3:25" ht="15.75" hidden="1" thickBot="1">
      <c r="C54" s="651" t="s">
        <v>950</v>
      </c>
      <c r="D54" s="912">
        <v>44099.6</v>
      </c>
      <c r="E54" s="912">
        <v>58774.41</v>
      </c>
      <c r="F54" s="916">
        <v>5391.24</v>
      </c>
      <c r="G54" s="915">
        <f t="shared" si="0"/>
        <v>0.75031973949206798</v>
      </c>
      <c r="H54" s="915">
        <f t="shared" si="1"/>
        <v>9.1727675360756489E-2</v>
      </c>
      <c r="I54" s="651">
        <v>173880</v>
      </c>
      <c r="J54" s="651">
        <v>147339</v>
      </c>
      <c r="K54" s="916">
        <v>20816.03</v>
      </c>
      <c r="L54" s="915">
        <f t="shared" si="15"/>
        <v>1.1801356056441268</v>
      </c>
      <c r="M54" s="915">
        <f t="shared" si="12"/>
        <v>0.14127983765330293</v>
      </c>
      <c r="N54" s="651">
        <v>188480</v>
      </c>
      <c r="O54" s="651">
        <v>163296</v>
      </c>
      <c r="P54" s="916">
        <v>22729.49</v>
      </c>
      <c r="Q54" s="915">
        <f t="shared" si="16"/>
        <v>1.1542230060748579</v>
      </c>
      <c r="R54" s="915">
        <f t="shared" si="14"/>
        <v>0.13919195816186558</v>
      </c>
      <c r="S54" s="912">
        <f t="shared" si="9"/>
        <v>406459.6</v>
      </c>
      <c r="T54" s="912">
        <f t="shared" si="9"/>
        <v>369409.41000000003</v>
      </c>
      <c r="U54" s="915">
        <f t="shared" si="6"/>
        <v>0.13247296542879075</v>
      </c>
      <c r="V54" s="915">
        <f t="shared" si="7"/>
        <v>1.1002957396239579</v>
      </c>
      <c r="W54" s="911">
        <f t="shared" si="8"/>
        <v>406459.6</v>
      </c>
      <c r="X54" s="917"/>
      <c r="Y54" s="665"/>
    </row>
    <row r="55" spans="3:25" ht="15.75" hidden="1" thickBot="1">
      <c r="C55" s="651" t="s">
        <v>951</v>
      </c>
      <c r="D55" s="912">
        <v>35259.18</v>
      </c>
      <c r="E55" s="912">
        <v>51401.72</v>
      </c>
      <c r="F55" s="916">
        <v>4352.1499999999996</v>
      </c>
      <c r="G55" s="915">
        <f t="shared" si="0"/>
        <v>0.68595331051178832</v>
      </c>
      <c r="H55" s="915">
        <f t="shared" si="1"/>
        <v>8.4669345695046777E-2</v>
      </c>
      <c r="I55" s="651">
        <v>162300</v>
      </c>
      <c r="J55" s="912">
        <v>144586</v>
      </c>
      <c r="K55" s="916">
        <v>19438.66</v>
      </c>
      <c r="L55" s="915">
        <f t="shared" si="15"/>
        <v>1.1225153196021744</v>
      </c>
      <c r="M55" s="915">
        <f t="shared" si="12"/>
        <v>0.134443583749464</v>
      </c>
      <c r="N55" s="651">
        <v>165600</v>
      </c>
      <c r="O55" s="912">
        <v>189358</v>
      </c>
      <c r="P55" s="916">
        <v>20029.810000000001</v>
      </c>
      <c r="Q55" s="915">
        <f t="shared" si="16"/>
        <v>0.87453395156264857</v>
      </c>
      <c r="R55" s="915">
        <f t="shared" si="14"/>
        <v>0.1057774691325426</v>
      </c>
      <c r="S55" s="912">
        <f t="shared" si="9"/>
        <v>363159.18</v>
      </c>
      <c r="T55" s="912">
        <f t="shared" si="9"/>
        <v>385345.72</v>
      </c>
      <c r="U55" s="915">
        <f t="shared" si="6"/>
        <v>0.11371767668783242</v>
      </c>
      <c r="V55" s="915">
        <f t="shared" si="7"/>
        <v>0.94242432483744731</v>
      </c>
      <c r="W55" s="911">
        <f t="shared" si="8"/>
        <v>363159.18</v>
      </c>
      <c r="X55" s="917"/>
      <c r="Y55" s="665"/>
    </row>
    <row r="56" spans="3:25" ht="15.75" hidden="1" thickBot="1">
      <c r="C56" s="918" t="s">
        <v>952</v>
      </c>
      <c r="D56" s="919">
        <v>27711.08</v>
      </c>
      <c r="E56" s="919">
        <v>37641.43</v>
      </c>
      <c r="F56" s="920">
        <v>3470.39</v>
      </c>
      <c r="G56" s="921">
        <f t="shared" si="0"/>
        <v>0.73618563375514701</v>
      </c>
      <c r="H56" s="921">
        <f t="shared" si="1"/>
        <v>9.2196019120421302E-2</v>
      </c>
      <c r="I56" s="918">
        <v>137820</v>
      </c>
      <c r="J56" s="918">
        <v>114602</v>
      </c>
      <c r="K56" s="920">
        <v>16578.939999999999</v>
      </c>
      <c r="L56" s="921">
        <f t="shared" si="15"/>
        <v>1.2025968133191394</v>
      </c>
      <c r="M56" s="921">
        <f t="shared" si="12"/>
        <v>0.14466536360621979</v>
      </c>
      <c r="N56" s="918">
        <v>118140</v>
      </c>
      <c r="O56" s="919">
        <v>101306</v>
      </c>
      <c r="P56" s="920">
        <v>14485.61</v>
      </c>
      <c r="Q56" s="921">
        <f t="shared" si="16"/>
        <v>1.1661698221230727</v>
      </c>
      <c r="R56" s="921">
        <f t="shared" si="14"/>
        <v>0.1429886679959726</v>
      </c>
      <c r="S56" s="919">
        <f t="shared" si="9"/>
        <v>283671.08</v>
      </c>
      <c r="T56" s="919">
        <f t="shared" si="9"/>
        <v>253549.43</v>
      </c>
      <c r="U56" s="921">
        <f t="shared" si="6"/>
        <v>0.13620594611472803</v>
      </c>
      <c r="V56" s="915">
        <f t="shared" si="7"/>
        <v>1.118799912111812</v>
      </c>
      <c r="W56" s="911">
        <f t="shared" si="8"/>
        <v>283671.08</v>
      </c>
      <c r="X56" s="917"/>
      <c r="Y56" s="665"/>
    </row>
    <row r="57" spans="3:25" ht="15.75" hidden="1" thickBot="1">
      <c r="C57" s="927"/>
      <c r="D57" s="928"/>
      <c r="E57" s="928"/>
      <c r="F57" s="929"/>
      <c r="G57" s="930"/>
      <c r="H57" s="930"/>
      <c r="I57" s="931"/>
      <c r="J57" s="931"/>
      <c r="K57" s="929"/>
      <c r="L57" s="930"/>
      <c r="M57" s="930"/>
      <c r="N57" s="931"/>
      <c r="O57" s="928"/>
      <c r="P57" s="929"/>
      <c r="Q57" s="930"/>
      <c r="R57" s="930"/>
      <c r="S57" s="928"/>
      <c r="T57" s="928"/>
      <c r="U57" s="932"/>
      <c r="V57" s="933">
        <f>AVERAGE(V45:V56)</f>
        <v>1.0158406468647521</v>
      </c>
      <c r="W57" s="911"/>
      <c r="X57" s="917"/>
      <c r="Y57" s="665"/>
    </row>
    <row r="58" spans="3:25">
      <c r="C58" s="934" t="s">
        <v>953</v>
      </c>
      <c r="D58" s="935">
        <v>30444.959999999999</v>
      </c>
      <c r="E58" s="935">
        <v>57026.79</v>
      </c>
      <c r="F58" s="936">
        <v>3780.82</v>
      </c>
      <c r="G58" s="937">
        <f t="shared" si="0"/>
        <v>0.53387118580582915</v>
      </c>
      <c r="H58" s="937">
        <f t="shared" si="1"/>
        <v>6.6299014901592748E-2</v>
      </c>
      <c r="I58" s="495">
        <v>135740</v>
      </c>
      <c r="J58" s="495">
        <v>113428</v>
      </c>
      <c r="K58" s="936">
        <v>16292.42</v>
      </c>
      <c r="L58" s="937">
        <f t="shared" ref="L58:L71" si="17">I58/J58</f>
        <v>1.1967062806361746</v>
      </c>
      <c r="M58" s="937">
        <f t="shared" ref="M58:M71" si="18">K58/J58</f>
        <v>0.143636668194802</v>
      </c>
      <c r="N58" s="495">
        <v>151860</v>
      </c>
      <c r="O58" s="935">
        <v>162233.9</v>
      </c>
      <c r="P58" s="936">
        <v>18381.259999999998</v>
      </c>
      <c r="Q58" s="937">
        <f t="shared" ref="Q58:Q71" si="19">N58/O58</f>
        <v>0.93605590446879483</v>
      </c>
      <c r="R58" s="937">
        <f t="shared" ref="R58:R71" si="20">P58/O58</f>
        <v>0.11330098086774712</v>
      </c>
      <c r="S58" s="935">
        <f>D58+I58+N58</f>
        <v>318044.95999999996</v>
      </c>
      <c r="T58" s="935">
        <f>E58+J58+O58</f>
        <v>332688.69</v>
      </c>
      <c r="U58" s="937">
        <f t="shared" si="6"/>
        <v>0.11558703723892748</v>
      </c>
      <c r="V58" s="938">
        <f>((D58+I58+N58)/(E58+J58+O58))</f>
        <v>0.95598368552895485</v>
      </c>
      <c r="W58" s="911">
        <f t="shared" si="8"/>
        <v>318044.95999999996</v>
      </c>
      <c r="X58" s="911">
        <v>247365.40000000002</v>
      </c>
      <c r="Y58" s="939">
        <f t="shared" ref="Y58:Y69" si="21">W58/X58</f>
        <v>1.2857293703969914</v>
      </c>
    </row>
    <row r="59" spans="3:25">
      <c r="C59" s="940" t="s">
        <v>954</v>
      </c>
      <c r="D59" s="912">
        <v>28195.7</v>
      </c>
      <c r="E59" s="912">
        <v>35448.080000000002</v>
      </c>
      <c r="F59" s="916">
        <v>3351.13</v>
      </c>
      <c r="G59" s="915">
        <f t="shared" si="0"/>
        <v>0.79540838319028839</v>
      </c>
      <c r="H59" s="915">
        <f t="shared" si="1"/>
        <v>9.4536290823085484E-2</v>
      </c>
      <c r="I59" s="651">
        <v>123500</v>
      </c>
      <c r="J59" s="651">
        <v>107839</v>
      </c>
      <c r="K59" s="916">
        <v>14162.8</v>
      </c>
      <c r="L59" s="915">
        <f t="shared" si="17"/>
        <v>1.1452257532061685</v>
      </c>
      <c r="M59" s="915">
        <f t="shared" si="18"/>
        <v>0.13133282022273945</v>
      </c>
      <c r="N59" s="651">
        <v>113200</v>
      </c>
      <c r="O59" s="912">
        <v>112136.7</v>
      </c>
      <c r="P59" s="916">
        <v>13214.97</v>
      </c>
      <c r="Q59" s="915">
        <f t="shared" si="19"/>
        <v>1.0094821766647315</v>
      </c>
      <c r="R59" s="915">
        <f t="shared" si="20"/>
        <v>0.1178469671392149</v>
      </c>
      <c r="S59" s="912">
        <f t="shared" ref="S59:T69" si="22">D59+I59+N59</f>
        <v>264895.7</v>
      </c>
      <c r="T59" s="912">
        <f t="shared" si="22"/>
        <v>255423.78000000003</v>
      </c>
      <c r="U59" s="915">
        <f t="shared" si="6"/>
        <v>0.1203055565147458</v>
      </c>
      <c r="V59" s="941">
        <f t="shared" si="7"/>
        <v>1.037083156470396</v>
      </c>
      <c r="W59" s="911">
        <f t="shared" si="8"/>
        <v>264895.7</v>
      </c>
      <c r="X59" s="911">
        <v>206934.82166666666</v>
      </c>
      <c r="Y59" s="939">
        <f t="shared" si="21"/>
        <v>1.2800924361908383</v>
      </c>
    </row>
    <row r="60" spans="3:25">
      <c r="C60" s="940" t="s">
        <v>955</v>
      </c>
      <c r="D60" s="912">
        <v>33191.96</v>
      </c>
      <c r="E60" s="912">
        <v>34359.17</v>
      </c>
      <c r="F60" s="916">
        <v>3896.48</v>
      </c>
      <c r="G60" s="915">
        <f t="shared" si="0"/>
        <v>0.96602915611756635</v>
      </c>
      <c r="H60" s="915">
        <f t="shared" si="1"/>
        <v>0.11340436919750972</v>
      </c>
      <c r="I60" s="651">
        <v>125200</v>
      </c>
      <c r="J60" s="651">
        <v>71824</v>
      </c>
      <c r="K60" s="916">
        <v>14317.71</v>
      </c>
      <c r="L60" s="915">
        <f t="shared" si="17"/>
        <v>1.7431499220316329</v>
      </c>
      <c r="M60" s="915">
        <f t="shared" si="18"/>
        <v>0.19934436957006013</v>
      </c>
      <c r="N60" s="651">
        <v>150380</v>
      </c>
      <c r="O60" s="912">
        <v>158940.47333333333</v>
      </c>
      <c r="P60" s="916">
        <v>17300.88</v>
      </c>
      <c r="Q60" s="915">
        <f t="shared" si="19"/>
        <v>0.94614038102566789</v>
      </c>
      <c r="R60" s="915">
        <f t="shared" si="20"/>
        <v>0.10885131796302273</v>
      </c>
      <c r="S60" s="912">
        <f t="shared" si="22"/>
        <v>308771.95999999996</v>
      </c>
      <c r="T60" s="912">
        <f t="shared" si="22"/>
        <v>265123.64333333331</v>
      </c>
      <c r="U60" s="915">
        <f t="shared" si="6"/>
        <v>0.13395663077603304</v>
      </c>
      <c r="V60" s="941">
        <f t="shared" si="7"/>
        <v>1.1646338143135304</v>
      </c>
      <c r="W60" s="911">
        <f t="shared" si="8"/>
        <v>308771.95999999996</v>
      </c>
      <c r="X60" s="911">
        <v>232244.70299999998</v>
      </c>
      <c r="Y60" s="939">
        <f t="shared" si="21"/>
        <v>1.3295113129017198</v>
      </c>
    </row>
    <row r="61" spans="3:25">
      <c r="C61" s="940" t="s">
        <v>956</v>
      </c>
      <c r="D61" s="912">
        <v>29764.36</v>
      </c>
      <c r="E61" s="912">
        <v>36886.699999999997</v>
      </c>
      <c r="F61" s="916">
        <v>3506.63</v>
      </c>
      <c r="G61" s="915">
        <f t="shared" si="0"/>
        <v>0.80691306080511416</v>
      </c>
      <c r="H61" s="915">
        <f t="shared" si="1"/>
        <v>9.5064887886419772E-2</v>
      </c>
      <c r="I61" s="651">
        <v>104260</v>
      </c>
      <c r="J61" s="651">
        <v>73038</v>
      </c>
      <c r="K61" s="916">
        <v>11963.79</v>
      </c>
      <c r="L61" s="915">
        <f t="shared" si="17"/>
        <v>1.4274761083271721</v>
      </c>
      <c r="M61" s="915">
        <f t="shared" si="18"/>
        <v>0.16380226731290562</v>
      </c>
      <c r="N61" s="651">
        <v>135080</v>
      </c>
      <c r="O61" s="912">
        <v>136588.18</v>
      </c>
      <c r="P61" s="916">
        <v>15560.91</v>
      </c>
      <c r="Q61" s="915">
        <f t="shared" si="19"/>
        <v>0.98895819535775353</v>
      </c>
      <c r="R61" s="915">
        <f t="shared" si="20"/>
        <v>0.11392574379422876</v>
      </c>
      <c r="S61" s="912">
        <f t="shared" si="22"/>
        <v>269104.36</v>
      </c>
      <c r="T61" s="912">
        <f t="shared" si="22"/>
        <v>246512.88</v>
      </c>
      <c r="U61" s="915">
        <f t="shared" si="6"/>
        <v>0.12588117099601448</v>
      </c>
      <c r="V61" s="941">
        <f t="shared" si="7"/>
        <v>1.0916442175354082</v>
      </c>
      <c r="W61" s="911">
        <f t="shared" si="8"/>
        <v>269104.36</v>
      </c>
      <c r="X61" s="911">
        <v>232973.31666666668</v>
      </c>
      <c r="Y61" s="939">
        <f t="shared" si="21"/>
        <v>1.1550866161425208</v>
      </c>
    </row>
    <row r="62" spans="3:25">
      <c r="C62" s="940" t="s">
        <v>957</v>
      </c>
      <c r="D62" s="912">
        <v>34556.44</v>
      </c>
      <c r="E62" s="912">
        <v>43113.8</v>
      </c>
      <c r="F62" s="916">
        <v>3914.01</v>
      </c>
      <c r="G62" s="915">
        <f t="shared" si="0"/>
        <v>0.80151691569752603</v>
      </c>
      <c r="H62" s="915">
        <f t="shared" si="1"/>
        <v>9.078322949960338E-2</v>
      </c>
      <c r="I62" s="651">
        <v>110380</v>
      </c>
      <c r="J62" s="651">
        <v>82775</v>
      </c>
      <c r="K62" s="916">
        <v>12258.34</v>
      </c>
      <c r="L62" s="915">
        <f t="shared" si="17"/>
        <v>1.3334944125641801</v>
      </c>
      <c r="M62" s="915">
        <f t="shared" si="18"/>
        <v>0.14809229839927515</v>
      </c>
      <c r="N62" s="651">
        <v>150260</v>
      </c>
      <c r="O62" s="912">
        <v>145573.429</v>
      </c>
      <c r="P62" s="916">
        <v>16717.11</v>
      </c>
      <c r="Q62" s="915">
        <f t="shared" si="19"/>
        <v>1.0321938627962113</v>
      </c>
      <c r="R62" s="915">
        <f t="shared" si="20"/>
        <v>0.1148362727651349</v>
      </c>
      <c r="S62" s="912">
        <f t="shared" si="22"/>
        <v>295196.44</v>
      </c>
      <c r="T62" s="912">
        <f t="shared" si="22"/>
        <v>271462.22899999999</v>
      </c>
      <c r="U62" s="915">
        <f t="shared" si="6"/>
        <v>0.12115667111832343</v>
      </c>
      <c r="V62" s="941">
        <f t="shared" si="7"/>
        <v>1.0874309884193871</v>
      </c>
      <c r="W62" s="911">
        <f t="shared" si="8"/>
        <v>295196.44</v>
      </c>
      <c r="X62" s="911">
        <v>231355.22666666668</v>
      </c>
      <c r="Y62" s="939">
        <f t="shared" si="21"/>
        <v>1.2759445474958508</v>
      </c>
    </row>
    <row r="63" spans="3:25">
      <c r="C63" s="940" t="s">
        <v>958</v>
      </c>
      <c r="D63" s="651">
        <v>34235</v>
      </c>
      <c r="E63" s="912">
        <v>51977.09</v>
      </c>
      <c r="F63" s="916">
        <v>3696.61</v>
      </c>
      <c r="G63" s="915">
        <f t="shared" si="0"/>
        <v>0.65865557306113143</v>
      </c>
      <c r="H63" s="915">
        <f t="shared" si="1"/>
        <v>7.1119987671491428E-2</v>
      </c>
      <c r="I63" s="651">
        <v>124380</v>
      </c>
      <c r="J63" s="651">
        <v>85193</v>
      </c>
      <c r="K63" s="916">
        <v>13108.57</v>
      </c>
      <c r="L63" s="915">
        <f t="shared" si="17"/>
        <v>1.4599791062645993</v>
      </c>
      <c r="M63" s="915">
        <f t="shared" si="18"/>
        <v>0.15386909722629794</v>
      </c>
      <c r="N63" s="651">
        <v>143940</v>
      </c>
      <c r="O63" s="912">
        <v>154879.45000000001</v>
      </c>
      <c r="P63" s="916">
        <v>15283.83</v>
      </c>
      <c r="Q63" s="915">
        <f t="shared" si="19"/>
        <v>0.92936796973388003</v>
      </c>
      <c r="R63" s="915">
        <f t="shared" si="20"/>
        <v>9.8682104049310604E-2</v>
      </c>
      <c r="S63" s="912">
        <f t="shared" si="22"/>
        <v>302555</v>
      </c>
      <c r="T63" s="912">
        <f t="shared" si="22"/>
        <v>292049.54000000004</v>
      </c>
      <c r="U63" s="915">
        <f t="shared" si="6"/>
        <v>0.10987522870263722</v>
      </c>
      <c r="V63" s="941">
        <f t="shared" si="7"/>
        <v>1.035971499903749</v>
      </c>
      <c r="W63" s="911">
        <f t="shared" si="8"/>
        <v>302555</v>
      </c>
      <c r="X63" s="911">
        <v>178357.34</v>
      </c>
      <c r="Y63" s="939">
        <f t="shared" si="21"/>
        <v>1.6963417373235103</v>
      </c>
    </row>
    <row r="64" spans="3:25">
      <c r="C64" s="940" t="s">
        <v>959</v>
      </c>
      <c r="D64" s="912">
        <v>32358.02</v>
      </c>
      <c r="E64" s="912">
        <v>35436.03</v>
      </c>
      <c r="F64" s="916">
        <v>3458.24</v>
      </c>
      <c r="G64" s="915">
        <f t="shared" si="0"/>
        <v>0.91313897183177695</v>
      </c>
      <c r="H64" s="915">
        <f t="shared" si="1"/>
        <v>9.7591067622417066E-2</v>
      </c>
      <c r="I64" s="651">
        <v>121440</v>
      </c>
      <c r="J64" s="651">
        <v>81142</v>
      </c>
      <c r="K64" s="942">
        <v>12637.32</v>
      </c>
      <c r="L64" s="915">
        <f t="shared" si="17"/>
        <v>1.4966355278400829</v>
      </c>
      <c r="M64" s="915">
        <f t="shared" si="18"/>
        <v>0.15574326489364324</v>
      </c>
      <c r="N64" s="651">
        <v>112980</v>
      </c>
      <c r="O64" s="912">
        <v>99766.76999999999</v>
      </c>
      <c r="P64" s="942">
        <v>11962.93</v>
      </c>
      <c r="Q64" s="915">
        <f t="shared" si="19"/>
        <v>1.1324411925934859</v>
      </c>
      <c r="R64" s="915">
        <f t="shared" si="20"/>
        <v>0.1199089636759815</v>
      </c>
      <c r="S64" s="912">
        <f t="shared" si="22"/>
        <v>266778.02</v>
      </c>
      <c r="T64" s="912">
        <f t="shared" si="22"/>
        <v>216344.8</v>
      </c>
      <c r="U64" s="915">
        <f t="shared" si="6"/>
        <v>0.12969338759239879</v>
      </c>
      <c r="V64" s="941">
        <f t="shared" si="7"/>
        <v>1.2331150090041454</v>
      </c>
      <c r="W64" s="911">
        <f t="shared" si="8"/>
        <v>266778.02</v>
      </c>
      <c r="X64" s="911">
        <v>205874.74766666666</v>
      </c>
      <c r="Y64" s="939">
        <f t="shared" si="21"/>
        <v>1.2958268220051072</v>
      </c>
    </row>
    <row r="65" spans="1:25">
      <c r="C65" s="940" t="s">
        <v>960</v>
      </c>
      <c r="D65" s="912">
        <v>35683.120000000003</v>
      </c>
      <c r="E65" s="912">
        <v>45909.61</v>
      </c>
      <c r="F65" s="916">
        <v>3780.82</v>
      </c>
      <c r="G65" s="915">
        <f t="shared" si="0"/>
        <v>0.777247290926671</v>
      </c>
      <c r="H65" s="915">
        <f t="shared" si="1"/>
        <v>8.2353563883465791E-2</v>
      </c>
      <c r="I65" s="651">
        <v>136760</v>
      </c>
      <c r="J65" s="651">
        <v>100667</v>
      </c>
      <c r="K65" s="942">
        <v>14134.13</v>
      </c>
      <c r="L65" s="915">
        <f t="shared" si="17"/>
        <v>1.3585385478856031</v>
      </c>
      <c r="M65" s="915">
        <f t="shared" si="18"/>
        <v>0.14040479998410602</v>
      </c>
      <c r="N65" s="651">
        <v>136680</v>
      </c>
      <c r="O65" s="912">
        <v>122845.20599999999</v>
      </c>
      <c r="P65" s="942">
        <v>12471.34</v>
      </c>
      <c r="Q65" s="915">
        <f t="shared" si="19"/>
        <v>1.1126197305574954</v>
      </c>
      <c r="R65" s="915">
        <f t="shared" si="20"/>
        <v>0.10152077078205234</v>
      </c>
      <c r="S65" s="912">
        <f t="shared" si="22"/>
        <v>309123.12</v>
      </c>
      <c r="T65" s="912">
        <f t="shared" si="22"/>
        <v>269421.81599999999</v>
      </c>
      <c r="U65" s="915">
        <f t="shared" si="6"/>
        <v>0.11278333154728644</v>
      </c>
      <c r="V65" s="941">
        <f t="shared" si="7"/>
        <v>1.1473574211228685</v>
      </c>
      <c r="W65" s="911">
        <f t="shared" si="8"/>
        <v>309123.12</v>
      </c>
      <c r="X65" s="911">
        <v>222396.03445833334</v>
      </c>
      <c r="Y65" s="939">
        <f t="shared" si="21"/>
        <v>1.3899668703756285</v>
      </c>
    </row>
    <row r="66" spans="1:25">
      <c r="C66" s="940" t="s">
        <v>961</v>
      </c>
      <c r="D66" s="912">
        <v>31706.94</v>
      </c>
      <c r="E66" s="912">
        <v>39532.400000000001</v>
      </c>
      <c r="F66" s="916">
        <v>3203.53</v>
      </c>
      <c r="G66" s="915">
        <f t="shared" si="0"/>
        <v>0.80204945816595996</v>
      </c>
      <c r="H66" s="915">
        <f t="shared" si="1"/>
        <v>8.1035555645495846E-2</v>
      </c>
      <c r="I66" s="651">
        <v>125020</v>
      </c>
      <c r="J66" s="651">
        <v>80077</v>
      </c>
      <c r="K66" s="942">
        <v>12272.98</v>
      </c>
      <c r="L66" s="915">
        <f t="shared" si="17"/>
        <v>1.5612472994742561</v>
      </c>
      <c r="M66" s="915">
        <f t="shared" si="18"/>
        <v>0.15326473269478127</v>
      </c>
      <c r="N66" s="651">
        <v>133740</v>
      </c>
      <c r="O66" s="912">
        <v>153337.34300000002</v>
      </c>
      <c r="P66" s="942">
        <v>13269.15</v>
      </c>
      <c r="Q66" s="915">
        <f t="shared" si="19"/>
        <v>0.87219458341599132</v>
      </c>
      <c r="R66" s="915">
        <f t="shared" si="20"/>
        <v>8.6535671874789152E-2</v>
      </c>
      <c r="S66" s="912">
        <f t="shared" si="22"/>
        <v>290466.94</v>
      </c>
      <c r="T66" s="912">
        <f t="shared" si="22"/>
        <v>272946.74300000002</v>
      </c>
      <c r="U66" s="915">
        <f t="shared" si="6"/>
        <v>0.10531600298304347</v>
      </c>
      <c r="V66" s="941">
        <f t="shared" si="7"/>
        <v>1.0641890678285177</v>
      </c>
      <c r="W66" s="911">
        <f t="shared" si="8"/>
        <v>290466.94</v>
      </c>
      <c r="X66" s="911">
        <v>229546.44075000001</v>
      </c>
      <c r="Y66" s="939">
        <f t="shared" si="21"/>
        <v>1.2653950941297702</v>
      </c>
    </row>
    <row r="67" spans="1:25">
      <c r="C67" s="940" t="s">
        <v>962</v>
      </c>
      <c r="D67" s="912">
        <v>34310.44</v>
      </c>
      <c r="E67" s="912">
        <v>43472.25</v>
      </c>
      <c r="F67" s="916">
        <v>3433.65</v>
      </c>
      <c r="G67" s="915">
        <f t="shared" si="0"/>
        <v>0.78924923370655997</v>
      </c>
      <c r="H67" s="915">
        <f t="shared" si="1"/>
        <v>7.8984869658230247E-2</v>
      </c>
      <c r="I67" s="651">
        <v>114160</v>
      </c>
      <c r="J67" s="651">
        <v>66000</v>
      </c>
      <c r="K67" s="942">
        <v>11278.18</v>
      </c>
      <c r="L67" s="915">
        <f t="shared" si="17"/>
        <v>1.7296969696969697</v>
      </c>
      <c r="M67" s="915">
        <f t="shared" si="18"/>
        <v>0.17088151515151515</v>
      </c>
      <c r="N67" s="651">
        <v>136280</v>
      </c>
      <c r="O67" s="912">
        <v>123661.38</v>
      </c>
      <c r="P67" s="942">
        <v>13442.69</v>
      </c>
      <c r="Q67" s="915">
        <f t="shared" si="19"/>
        <v>1.102041720705365</v>
      </c>
      <c r="R67" s="915">
        <f t="shared" si="20"/>
        <v>0.10870564439762842</v>
      </c>
      <c r="S67" s="912">
        <f t="shared" si="22"/>
        <v>284750.44</v>
      </c>
      <c r="T67" s="912">
        <f t="shared" si="22"/>
        <v>233133.63</v>
      </c>
      <c r="U67" s="915">
        <f t="shared" si="6"/>
        <v>0.12076558838808454</v>
      </c>
      <c r="V67" s="941">
        <f t="shared" si="7"/>
        <v>1.2214043936947234</v>
      </c>
      <c r="W67" s="911">
        <f t="shared" si="8"/>
        <v>284750.44</v>
      </c>
      <c r="X67" s="911">
        <v>206875.81258333332</v>
      </c>
      <c r="Y67" s="939">
        <f t="shared" si="21"/>
        <v>1.3764317657256204</v>
      </c>
    </row>
    <row r="68" spans="1:25">
      <c r="C68" s="940" t="s">
        <v>963</v>
      </c>
      <c r="D68" s="912">
        <v>33932.42</v>
      </c>
      <c r="E68" s="912">
        <v>52586.46</v>
      </c>
      <c r="F68" s="916">
        <v>3380.91</v>
      </c>
      <c r="G68" s="915">
        <f t="shared" si="0"/>
        <v>0.64526914342589325</v>
      </c>
      <c r="H68" s="915">
        <f t="shared" si="1"/>
        <v>6.4292405307373804E-2</v>
      </c>
      <c r="I68" s="651">
        <v>108560</v>
      </c>
      <c r="J68" s="651">
        <v>63765</v>
      </c>
      <c r="K68" s="942">
        <v>10601.37</v>
      </c>
      <c r="L68" s="915">
        <f t="shared" si="17"/>
        <v>1.7025013722261428</v>
      </c>
      <c r="M68" s="915">
        <f t="shared" si="18"/>
        <v>0.16625688073394496</v>
      </c>
      <c r="N68" s="651">
        <v>126840</v>
      </c>
      <c r="O68" s="912">
        <v>114248.79</v>
      </c>
      <c r="P68" s="942">
        <v>12487.17</v>
      </c>
      <c r="Q68" s="915">
        <f t="shared" si="19"/>
        <v>1.110208694551601</v>
      </c>
      <c r="R68" s="915">
        <f t="shared" si="20"/>
        <v>0.10929805033383724</v>
      </c>
      <c r="S68" s="912">
        <f t="shared" si="22"/>
        <v>269332.42</v>
      </c>
      <c r="T68" s="912">
        <f t="shared" si="22"/>
        <v>230600.25</v>
      </c>
      <c r="U68" s="915">
        <f t="shared" si="6"/>
        <v>0.11478500131721453</v>
      </c>
      <c r="V68" s="941">
        <f t="shared" si="7"/>
        <v>1.1679623937961905</v>
      </c>
      <c r="W68" s="911">
        <f t="shared" si="8"/>
        <v>269332.42</v>
      </c>
      <c r="X68" s="911">
        <v>172335.19591666665</v>
      </c>
      <c r="Y68" s="939">
        <f t="shared" si="21"/>
        <v>1.5628404782168623</v>
      </c>
    </row>
    <row r="69" spans="1:25" ht="15.75" thickBot="1">
      <c r="C69" s="943" t="s">
        <v>964</v>
      </c>
      <c r="D69" s="944">
        <v>27747.16</v>
      </c>
      <c r="E69" s="944">
        <v>43315.18</v>
      </c>
      <c r="F69" s="945">
        <v>2771.17</v>
      </c>
      <c r="G69" s="946">
        <f t="shared" si="0"/>
        <v>0.6405874337818751</v>
      </c>
      <c r="H69" s="946">
        <f t="shared" si="1"/>
        <v>6.3976878313792077E-2</v>
      </c>
      <c r="I69" s="713">
        <v>86680</v>
      </c>
      <c r="J69" s="713">
        <v>45172</v>
      </c>
      <c r="K69" s="947">
        <v>8481.2999999999993</v>
      </c>
      <c r="L69" s="946">
        <f t="shared" si="17"/>
        <v>1.9188878066058621</v>
      </c>
      <c r="M69" s="946">
        <f t="shared" si="18"/>
        <v>0.1877556893650934</v>
      </c>
      <c r="N69" s="713">
        <v>136820</v>
      </c>
      <c r="O69" s="944">
        <v>137312</v>
      </c>
      <c r="P69" s="947">
        <v>13293.36</v>
      </c>
      <c r="Q69" s="946">
        <f t="shared" si="19"/>
        <v>0.99641691913306918</v>
      </c>
      <c r="R69" s="946">
        <f t="shared" si="20"/>
        <v>9.6811349335819155E-2</v>
      </c>
      <c r="S69" s="944">
        <f t="shared" si="22"/>
        <v>251247.16</v>
      </c>
      <c r="T69" s="944">
        <f t="shared" si="22"/>
        <v>225799.18</v>
      </c>
      <c r="U69" s="946">
        <f t="shared" si="6"/>
        <v>0.10870646208724054</v>
      </c>
      <c r="V69" s="948">
        <f t="shared" si="7"/>
        <v>1.1127018264636745</v>
      </c>
      <c r="W69" s="911">
        <f t="shared" si="8"/>
        <v>251247.16</v>
      </c>
      <c r="X69" s="911">
        <v>203350.95333333334</v>
      </c>
      <c r="Y69" s="939">
        <f t="shared" si="21"/>
        <v>1.2355347043205402</v>
      </c>
    </row>
    <row r="70" spans="1:25" ht="15.75" thickBot="1">
      <c r="A70" s="881" t="s">
        <v>965</v>
      </c>
      <c r="C70" s="949"/>
      <c r="D70" s="950"/>
      <c r="E70" s="950"/>
      <c r="F70" s="951"/>
      <c r="G70" s="952"/>
      <c r="H70" s="952"/>
      <c r="I70" s="953"/>
      <c r="J70" s="953"/>
      <c r="K70" s="954"/>
      <c r="L70" s="952"/>
      <c r="M70" s="952"/>
      <c r="N70" s="953"/>
      <c r="O70" s="950"/>
      <c r="P70" s="954"/>
      <c r="Q70" s="952"/>
      <c r="R70" s="952"/>
      <c r="S70" s="950"/>
      <c r="T70" s="950"/>
      <c r="U70" s="952"/>
      <c r="V70" s="955"/>
      <c r="W70" s="911"/>
      <c r="X70" s="917"/>
      <c r="Y70" s="939"/>
    </row>
    <row r="71" spans="1:25">
      <c r="A71" t="s">
        <v>240</v>
      </c>
      <c r="C71" s="934" t="s">
        <v>966</v>
      </c>
      <c r="D71" s="1004">
        <v>29842.26</v>
      </c>
      <c r="E71" s="1004">
        <v>41397</v>
      </c>
      <c r="F71" s="1005">
        <v>3107.15</v>
      </c>
      <c r="G71" s="937">
        <f t="shared" si="0"/>
        <v>0.72087977389665914</v>
      </c>
      <c r="H71" s="937">
        <f t="shared" si="1"/>
        <v>7.5057371307099552E-2</v>
      </c>
      <c r="I71" s="1004">
        <v>95040</v>
      </c>
      <c r="J71" s="1004">
        <v>54489</v>
      </c>
      <c r="K71" s="1005">
        <v>9665.02</v>
      </c>
      <c r="L71" s="937">
        <f t="shared" si="17"/>
        <v>1.7442052524362714</v>
      </c>
      <c r="M71" s="937">
        <f t="shared" si="18"/>
        <v>0.17737561709702876</v>
      </c>
      <c r="N71" s="1004">
        <v>121840</v>
      </c>
      <c r="O71" s="1004">
        <v>118668</v>
      </c>
      <c r="P71" s="1005">
        <v>12463.96</v>
      </c>
      <c r="Q71" s="937">
        <f t="shared" si="19"/>
        <v>1.0267300367411603</v>
      </c>
      <c r="R71" s="937">
        <f t="shared" si="20"/>
        <v>0.10503219064954325</v>
      </c>
      <c r="S71" s="935">
        <f>D71+I71+N71</f>
        <v>246722.26</v>
      </c>
      <c r="T71" s="935">
        <f>E71+J71+O71</f>
        <v>214554</v>
      </c>
      <c r="U71" s="937">
        <f>((F71+K71+P71)/(E71+J71+O71))</f>
        <v>0.11762134474304836</v>
      </c>
      <c r="V71" s="938">
        <f t="shared" si="7"/>
        <v>1.1499308332634208</v>
      </c>
      <c r="W71" s="911">
        <f t="shared" ref="W71:W81" si="23">D71+I71+N71</f>
        <v>246722.26</v>
      </c>
      <c r="X71" s="911">
        <f>'Production-Ciospi'!Y5</f>
        <v>157258.49583333332</v>
      </c>
      <c r="Y71" s="939">
        <f t="shared" ref="Y71:Y81" si="24">W71/X71</f>
        <v>1.5688962220615588</v>
      </c>
    </row>
    <row r="72" spans="1:25">
      <c r="C72" s="940" t="s">
        <v>967</v>
      </c>
      <c r="D72" s="1001">
        <v>21789.040000000001</v>
      </c>
      <c r="E72" s="1001">
        <v>30186.61</v>
      </c>
      <c r="F72" s="1002">
        <v>2384.9899999999998</v>
      </c>
      <c r="G72" s="915">
        <v>0.7218114256619077</v>
      </c>
      <c r="H72" s="915">
        <v>7.9008209268944071E-2</v>
      </c>
      <c r="I72" s="1001">
        <v>93500</v>
      </c>
      <c r="J72" s="1001">
        <v>50616.82</v>
      </c>
      <c r="K72" s="1002">
        <v>9773.3799999999992</v>
      </c>
      <c r="L72" s="915">
        <v>1.8472120532265757</v>
      </c>
      <c r="M72" s="915">
        <v>0.19308561857501122</v>
      </c>
      <c r="N72" s="1001">
        <v>108260</v>
      </c>
      <c r="O72" s="1001">
        <v>103911</v>
      </c>
      <c r="P72" s="1002">
        <v>11444.24</v>
      </c>
      <c r="Q72" s="915">
        <v>1.0418531243083022</v>
      </c>
      <c r="R72" s="915">
        <v>0.11013501939159473</v>
      </c>
      <c r="S72" s="912">
        <v>223549.04</v>
      </c>
      <c r="T72" s="912">
        <v>184714.43</v>
      </c>
      <c r="U72" s="915">
        <v>0.12777891797625124</v>
      </c>
      <c r="V72" s="941">
        <v>1.2102413438950059</v>
      </c>
      <c r="W72" s="911">
        <f t="shared" si="23"/>
        <v>223549.04</v>
      </c>
      <c r="X72" s="911">
        <f>'Production-Ciospi'!Y6</f>
        <v>162692.98000000001</v>
      </c>
      <c r="Y72" s="939">
        <f t="shared" si="24"/>
        <v>1.3740546150178083</v>
      </c>
    </row>
    <row r="73" spans="1:25">
      <c r="C73" s="940" t="s">
        <v>968</v>
      </c>
      <c r="D73" s="1001">
        <v>27973.48</v>
      </c>
      <c r="E73" s="1001">
        <v>36498.589999999997</v>
      </c>
      <c r="F73" s="1002">
        <v>3141.52</v>
      </c>
      <c r="G73" s="915">
        <v>0.76642631948247875</v>
      </c>
      <c r="H73" s="915">
        <v>8.6072366083182944E-2</v>
      </c>
      <c r="I73" s="1001">
        <v>118020</v>
      </c>
      <c r="J73" s="1001">
        <v>89040</v>
      </c>
      <c r="K73" s="1002">
        <v>12808.41</v>
      </c>
      <c r="L73" s="915">
        <v>1.3254716981132075</v>
      </c>
      <c r="M73" s="915">
        <v>0.14385006738544473</v>
      </c>
      <c r="N73" s="1001">
        <v>112280</v>
      </c>
      <c r="O73" s="1001">
        <v>91558</v>
      </c>
      <c r="P73" s="1002">
        <v>12406.48</v>
      </c>
      <c r="Q73" s="915">
        <v>1.2263264815745212</v>
      </c>
      <c r="R73" s="915">
        <v>0.13550405207627952</v>
      </c>
      <c r="S73" s="912">
        <v>258273.48</v>
      </c>
      <c r="T73" s="912">
        <v>217096.59</v>
      </c>
      <c r="U73" s="915">
        <v>0.13061656104317437</v>
      </c>
      <c r="V73" s="941">
        <v>1.1896708280862449</v>
      </c>
      <c r="W73" s="911">
        <f t="shared" si="23"/>
        <v>258273.48</v>
      </c>
      <c r="X73" s="911">
        <f>'Production-Ciospi'!Y7</f>
        <v>150371.86333333334</v>
      </c>
      <c r="Y73" s="939">
        <f t="shared" si="24"/>
        <v>1.7175652031888324</v>
      </c>
    </row>
    <row r="74" spans="1:25">
      <c r="C74" s="940" t="s">
        <v>969</v>
      </c>
      <c r="D74" s="1001">
        <v>26495.84</v>
      </c>
      <c r="E74" s="1001">
        <v>32178.83</v>
      </c>
      <c r="F74" s="1002">
        <v>2958.35</v>
      </c>
      <c r="G74" s="915">
        <f t="shared" ref="G74:G81" si="25">D74/E74</f>
        <v>0.82339351679349426</v>
      </c>
      <c r="H74" s="915">
        <f t="shared" ref="H74:H81" si="26">F74/E74</f>
        <v>9.1934666362947309E-2</v>
      </c>
      <c r="I74" s="1001">
        <v>102340</v>
      </c>
      <c r="J74" s="1001">
        <v>58362.75</v>
      </c>
      <c r="K74" s="1002">
        <v>11060.19</v>
      </c>
      <c r="L74" s="915">
        <f t="shared" ref="L74:L81" si="27">I74/J74</f>
        <v>1.7535157270690638</v>
      </c>
      <c r="M74" s="915">
        <f t="shared" ref="M74:M81" si="28">K74/J74</f>
        <v>0.18950769112147733</v>
      </c>
      <c r="N74" s="1001">
        <v>115780</v>
      </c>
      <c r="O74" s="1001">
        <v>112444</v>
      </c>
      <c r="P74" s="1002">
        <v>12651.3</v>
      </c>
      <c r="Q74" s="915">
        <f t="shared" ref="Q74:Q81" si="29">N74/O74</f>
        <v>1.0296681014549465</v>
      </c>
      <c r="R74" s="915">
        <f t="shared" ref="R74:R81" si="30">P74/O74</f>
        <v>0.1125120059763082</v>
      </c>
      <c r="S74" s="912">
        <f t="shared" ref="S74:T81" si="31">D74+I74+N74</f>
        <v>244615.84</v>
      </c>
      <c r="T74" s="912">
        <f t="shared" si="31"/>
        <v>202985.58000000002</v>
      </c>
      <c r="U74" s="915">
        <f t="shared" ref="U74:U81" si="32">((F74+K74+P74)/(E74+J74+O74))</f>
        <v>0.13138785523582511</v>
      </c>
      <c r="V74" s="941">
        <f t="shared" ref="V74:V81" si="33">((D74+I74+N74)/(E74+J74+O74))</f>
        <v>1.2050897408574539</v>
      </c>
      <c r="W74" s="911">
        <f t="shared" si="23"/>
        <v>244615.84</v>
      </c>
      <c r="X74" s="911">
        <f>'Production-Ciospi'!Y8</f>
        <v>175263.78333333335</v>
      </c>
      <c r="Y74" s="939">
        <f t="shared" si="24"/>
        <v>1.3957010133392265</v>
      </c>
    </row>
    <row r="75" spans="1:25">
      <c r="C75" s="940" t="s">
        <v>970</v>
      </c>
      <c r="D75" s="1001">
        <v>32203</v>
      </c>
      <c r="E75" s="1001">
        <v>42791.100000000006</v>
      </c>
      <c r="F75" s="1002">
        <v>3483</v>
      </c>
      <c r="G75" s="915">
        <f t="shared" si="25"/>
        <v>0.75256303296713556</v>
      </c>
      <c r="H75" s="915">
        <f t="shared" si="26"/>
        <v>8.1395430358181947E-2</v>
      </c>
      <c r="I75" s="1001">
        <v>144340</v>
      </c>
      <c r="J75" s="1001">
        <v>86870.61</v>
      </c>
      <c r="K75" s="1002">
        <v>15128.04</v>
      </c>
      <c r="L75" s="915">
        <f t="shared" si="27"/>
        <v>1.6615515880457152</v>
      </c>
      <c r="M75" s="915">
        <f t="shared" si="28"/>
        <v>0.17414451216585219</v>
      </c>
      <c r="N75" s="1001">
        <v>152460</v>
      </c>
      <c r="O75" s="1001">
        <v>130428</v>
      </c>
      <c r="P75" s="1002">
        <v>16147.98</v>
      </c>
      <c r="Q75" s="915">
        <f t="shared" si="29"/>
        <v>1.1689207838807618</v>
      </c>
      <c r="R75" s="915">
        <f t="shared" si="30"/>
        <v>0.12380761799613579</v>
      </c>
      <c r="S75" s="912">
        <f t="shared" si="31"/>
        <v>329003</v>
      </c>
      <c r="T75" s="912">
        <f t="shared" si="31"/>
        <v>260089.71000000002</v>
      </c>
      <c r="U75" s="915">
        <f t="shared" si="32"/>
        <v>0.13364242668423906</v>
      </c>
      <c r="V75" s="941">
        <f t="shared" si="33"/>
        <v>1.2649596940993935</v>
      </c>
      <c r="W75" s="911">
        <f t="shared" si="23"/>
        <v>329003</v>
      </c>
      <c r="X75" s="911">
        <f>'Production-Ciospi'!Y9</f>
        <v>211660.26333333334</v>
      </c>
      <c r="Y75" s="939">
        <f t="shared" si="24"/>
        <v>1.5543919053047257</v>
      </c>
    </row>
    <row r="76" spans="1:25">
      <c r="C76" s="940" t="s">
        <v>971</v>
      </c>
      <c r="D76" s="1001">
        <v>32255.52</v>
      </c>
      <c r="E76" s="1001">
        <v>39889.81</v>
      </c>
      <c r="F76" s="1002">
        <v>3489.25</v>
      </c>
      <c r="G76" s="915">
        <f t="shared" si="25"/>
        <v>0.80861553364129846</v>
      </c>
      <c r="H76" s="915">
        <f t="shared" si="26"/>
        <v>8.7472214081741689E-2</v>
      </c>
      <c r="I76" s="1001">
        <v>139800</v>
      </c>
      <c r="J76" s="1001">
        <v>82245.350000000006</v>
      </c>
      <c r="K76" s="1002">
        <v>14665.97</v>
      </c>
      <c r="L76" s="915">
        <f t="shared" si="27"/>
        <v>1.6997921463037118</v>
      </c>
      <c r="M76" s="915">
        <f t="shared" si="28"/>
        <v>0.17831974695225927</v>
      </c>
      <c r="N76" s="1001">
        <v>122400</v>
      </c>
      <c r="O76" s="1001">
        <v>99563</v>
      </c>
      <c r="P76" s="1002">
        <v>13088.61</v>
      </c>
      <c r="Q76" s="915">
        <f t="shared" si="29"/>
        <v>1.2293723572009683</v>
      </c>
      <c r="R76" s="915">
        <f t="shared" si="30"/>
        <v>0.13146058274660266</v>
      </c>
      <c r="S76" s="912">
        <f t="shared" si="31"/>
        <v>294455.52</v>
      </c>
      <c r="T76" s="912">
        <f t="shared" si="31"/>
        <v>221698.16</v>
      </c>
      <c r="U76" s="915">
        <f t="shared" si="32"/>
        <v>0.14092958642507453</v>
      </c>
      <c r="V76" s="941">
        <f t="shared" si="33"/>
        <v>1.3281820652007217</v>
      </c>
      <c r="W76" s="911">
        <f t="shared" si="23"/>
        <v>294455.52</v>
      </c>
      <c r="X76" s="911">
        <f>'Production-Ciospi'!Y10</f>
        <v>194768.66666666666</v>
      </c>
      <c r="Y76" s="939">
        <f t="shared" si="24"/>
        <v>1.5118218193891559</v>
      </c>
    </row>
    <row r="77" spans="1:25">
      <c r="C77" s="940" t="s">
        <v>972</v>
      </c>
      <c r="D77" s="1001">
        <v>34860.660000000003</v>
      </c>
      <c r="E77" s="1001">
        <v>45089.57</v>
      </c>
      <c r="F77" s="1002">
        <v>3702.49</v>
      </c>
      <c r="G77" s="915">
        <f t="shared" si="25"/>
        <v>0.77314243626630286</v>
      </c>
      <c r="H77" s="915">
        <f t="shared" si="26"/>
        <v>8.2114111977559329E-2</v>
      </c>
      <c r="I77" s="1001">
        <v>120740</v>
      </c>
      <c r="J77" s="1001">
        <v>61199.12</v>
      </c>
      <c r="K77" s="1002">
        <v>12550.19</v>
      </c>
      <c r="L77" s="915">
        <f t="shared" si="27"/>
        <v>1.9729041855503804</v>
      </c>
      <c r="M77" s="915">
        <f t="shared" si="28"/>
        <v>0.20507141279155647</v>
      </c>
      <c r="N77" s="1001">
        <v>118440</v>
      </c>
      <c r="O77" s="1001">
        <v>104078</v>
      </c>
      <c r="P77" s="1002">
        <v>12510.19</v>
      </c>
      <c r="Q77" s="915">
        <f t="shared" si="29"/>
        <v>1.1379926593516401</v>
      </c>
      <c r="R77" s="915">
        <f t="shared" si="30"/>
        <v>0.12020013835777014</v>
      </c>
      <c r="S77" s="912">
        <f t="shared" si="31"/>
        <v>274040.66000000003</v>
      </c>
      <c r="T77" s="912">
        <f t="shared" si="31"/>
        <v>210366.69</v>
      </c>
      <c r="U77" s="915">
        <f t="shared" si="32"/>
        <v>0.13672730221690516</v>
      </c>
      <c r="V77" s="941">
        <f t="shared" si="33"/>
        <v>1.3026808569360484</v>
      </c>
      <c r="W77" s="911">
        <f t="shared" si="23"/>
        <v>274040.66000000003</v>
      </c>
      <c r="X77" s="911">
        <f>'Production-Ciospi'!Y11</f>
        <v>175411.07666666666</v>
      </c>
      <c r="Y77" s="939">
        <f t="shared" si="24"/>
        <v>1.5622768254296677</v>
      </c>
    </row>
    <row r="78" spans="1:25">
      <c r="C78" s="940" t="s">
        <v>973</v>
      </c>
      <c r="D78" s="1001">
        <v>31105.06</v>
      </c>
      <c r="E78" s="1001">
        <v>38069.949999999997</v>
      </c>
      <c r="F78" s="1002">
        <v>3325.54</v>
      </c>
      <c r="G78" s="915">
        <f t="shared" si="25"/>
        <v>0.8170501931313281</v>
      </c>
      <c r="H78" s="915">
        <f t="shared" si="26"/>
        <v>8.7353411286329508E-2</v>
      </c>
      <c r="I78" s="1001">
        <v>125120</v>
      </c>
      <c r="J78" s="1001">
        <v>68252.7</v>
      </c>
      <c r="K78" s="1002">
        <v>12989.81</v>
      </c>
      <c r="L78" s="915">
        <f t="shared" si="27"/>
        <v>1.8331875515547371</v>
      </c>
      <c r="M78" s="915">
        <f t="shared" si="28"/>
        <v>0.19031935732945363</v>
      </c>
      <c r="N78" s="1001">
        <v>123460</v>
      </c>
      <c r="O78" s="1001">
        <v>103984</v>
      </c>
      <c r="P78" s="1002">
        <v>13014.05</v>
      </c>
      <c r="Q78" s="915">
        <f t="shared" si="29"/>
        <v>1.1872980458532081</v>
      </c>
      <c r="R78" s="915">
        <f t="shared" si="30"/>
        <v>0.12515435066933372</v>
      </c>
      <c r="S78" s="912">
        <f t="shared" si="31"/>
        <v>279685.06</v>
      </c>
      <c r="T78" s="912">
        <f t="shared" si="31"/>
        <v>210306.65</v>
      </c>
      <c r="U78" s="915">
        <f t="shared" si="32"/>
        <v>0.1394601644788693</v>
      </c>
      <c r="V78" s="941">
        <f t="shared" si="33"/>
        <v>1.3298916605822972</v>
      </c>
      <c r="W78" s="911">
        <f t="shared" si="23"/>
        <v>279685.06</v>
      </c>
      <c r="X78" s="911">
        <f>'Production-Ciospi'!Y12</f>
        <v>160336.92333333334</v>
      </c>
      <c r="Y78" s="939">
        <f t="shared" si="24"/>
        <v>1.7443584059458792</v>
      </c>
    </row>
    <row r="79" spans="1:25">
      <c r="C79" s="940" t="s">
        <v>974</v>
      </c>
      <c r="D79" s="1001">
        <v>35284.6</v>
      </c>
      <c r="E79" s="1001">
        <v>45677.760000000002</v>
      </c>
      <c r="F79" s="1002">
        <v>3693.96</v>
      </c>
      <c r="G79" s="915">
        <f t="shared" si="25"/>
        <v>0.77246782679360804</v>
      </c>
      <c r="H79" s="915">
        <f t="shared" si="26"/>
        <v>8.0869990122107563E-2</v>
      </c>
      <c r="I79" s="1001">
        <v>120280</v>
      </c>
      <c r="J79" s="1001">
        <v>53997.88</v>
      </c>
      <c r="K79" s="1002">
        <v>12333.51</v>
      </c>
      <c r="L79" s="915">
        <f t="shared" si="27"/>
        <v>2.2274948572055053</v>
      </c>
      <c r="M79" s="915">
        <f t="shared" si="28"/>
        <v>0.22840730043475782</v>
      </c>
      <c r="N79" s="1001">
        <v>118580</v>
      </c>
      <c r="O79" s="1001">
        <v>68143.64</v>
      </c>
      <c r="P79" s="1002">
        <v>12353.46</v>
      </c>
      <c r="Q79" s="915">
        <f t="shared" si="29"/>
        <v>1.740147723250475</v>
      </c>
      <c r="R79" s="915">
        <f t="shared" si="30"/>
        <v>0.18128559026198188</v>
      </c>
      <c r="S79" s="912">
        <f t="shared" si="31"/>
        <v>274144.59999999998</v>
      </c>
      <c r="T79" s="912">
        <f t="shared" si="31"/>
        <v>167819.28</v>
      </c>
      <c r="U79" s="915">
        <f t="shared" si="32"/>
        <v>0.16911602766976477</v>
      </c>
      <c r="V79" s="941">
        <f t="shared" si="33"/>
        <v>1.6335703502005252</v>
      </c>
      <c r="W79" s="911">
        <f t="shared" si="23"/>
        <v>274144.59999999998</v>
      </c>
      <c r="X79" s="911">
        <f>'Production-Ciospi'!Y13</f>
        <v>131074.92462499999</v>
      </c>
      <c r="Y79" s="939">
        <f t="shared" si="24"/>
        <v>2.0915106438879634</v>
      </c>
    </row>
    <row r="80" spans="1:25">
      <c r="C80" s="940" t="s">
        <v>975</v>
      </c>
      <c r="D80" s="1001">
        <v>33820.080000000002</v>
      </c>
      <c r="E80" s="1001">
        <v>44575.35</v>
      </c>
      <c r="F80" s="1002">
        <v>3532.92</v>
      </c>
      <c r="G80" s="915">
        <f t="shared" si="25"/>
        <v>0.75871709364031925</v>
      </c>
      <c r="H80" s="915">
        <f t="shared" si="26"/>
        <v>7.9257257654735194E-2</v>
      </c>
      <c r="I80" s="1001">
        <v>121200</v>
      </c>
      <c r="J80" s="1001">
        <v>62522.13</v>
      </c>
      <c r="K80" s="1002">
        <v>12368.37</v>
      </c>
      <c r="L80" s="915">
        <f t="shared" si="27"/>
        <v>1.9385136111005816</v>
      </c>
      <c r="M80" s="915">
        <f t="shared" si="28"/>
        <v>0.1978238745225091</v>
      </c>
      <c r="N80" s="1001">
        <v>143320</v>
      </c>
      <c r="O80" s="1001">
        <v>108707</v>
      </c>
      <c r="P80" s="1002">
        <v>14735.74</v>
      </c>
      <c r="Q80" s="915">
        <f t="shared" si="29"/>
        <v>1.3184063583761856</v>
      </c>
      <c r="R80" s="915">
        <f t="shared" si="30"/>
        <v>0.1355546560939038</v>
      </c>
      <c r="S80" s="912">
        <f t="shared" si="31"/>
        <v>298340.08</v>
      </c>
      <c r="T80" s="912">
        <f t="shared" si="31"/>
        <v>215804.47999999998</v>
      </c>
      <c r="U80" s="915">
        <f t="shared" si="32"/>
        <v>0.14196660792213397</v>
      </c>
      <c r="V80" s="941">
        <f t="shared" si="33"/>
        <v>1.3824554522686463</v>
      </c>
      <c r="W80" s="911">
        <f t="shared" si="23"/>
        <v>298340.08</v>
      </c>
      <c r="X80" s="911">
        <f>'Production-Ciospi'!Y14</f>
        <v>157888.54999999999</v>
      </c>
      <c r="Y80" s="939">
        <f t="shared" si="24"/>
        <v>1.8895612126401822</v>
      </c>
    </row>
    <row r="81" spans="1:25">
      <c r="C81" s="940" t="s">
        <v>976</v>
      </c>
      <c r="D81" s="1001">
        <v>32044.78</v>
      </c>
      <c r="E81" s="1001">
        <v>49724.68</v>
      </c>
      <c r="F81" s="1002">
        <v>3380.9</v>
      </c>
      <c r="G81" s="915">
        <f t="shared" si="25"/>
        <v>0.64444416736316856</v>
      </c>
      <c r="H81" s="915">
        <f t="shared" si="26"/>
        <v>6.799239331454722E-2</v>
      </c>
      <c r="I81" s="1001">
        <v>121940</v>
      </c>
      <c r="J81" s="1001">
        <v>69079.5</v>
      </c>
      <c r="K81" s="1002">
        <v>12526.32</v>
      </c>
      <c r="L81" s="915">
        <f t="shared" si="27"/>
        <v>1.765212544966307</v>
      </c>
      <c r="M81" s="915">
        <f t="shared" si="28"/>
        <v>0.18133194363016525</v>
      </c>
      <c r="N81" s="1001">
        <v>130640</v>
      </c>
      <c r="O81" s="1001">
        <v>115358</v>
      </c>
      <c r="P81" s="1002">
        <v>13578.26</v>
      </c>
      <c r="Q81" s="915">
        <f t="shared" si="29"/>
        <v>1.1324745574645885</v>
      </c>
      <c r="R81" s="915">
        <f t="shared" si="30"/>
        <v>0.1177054040465334</v>
      </c>
      <c r="S81" s="912">
        <f t="shared" si="31"/>
        <v>284624.78000000003</v>
      </c>
      <c r="T81" s="912">
        <f t="shared" si="31"/>
        <v>234162.18</v>
      </c>
      <c r="U81" s="915">
        <f t="shared" si="32"/>
        <v>0.12591905319637869</v>
      </c>
      <c r="V81" s="941">
        <f t="shared" si="33"/>
        <v>1.2155027767507121</v>
      </c>
      <c r="W81" s="911">
        <f t="shared" si="23"/>
        <v>284624.78000000003</v>
      </c>
      <c r="X81" s="911">
        <f>'Production-Ciospi'!Y15</f>
        <v>176827.69500000001</v>
      </c>
      <c r="Y81" s="939">
        <f t="shared" si="24"/>
        <v>1.6096165252846848</v>
      </c>
    </row>
    <row r="82" spans="1:25" ht="15.75" thickBot="1">
      <c r="C82" s="943" t="s">
        <v>977</v>
      </c>
      <c r="D82" s="1001">
        <v>24320</v>
      </c>
      <c r="E82" s="1001">
        <v>35990</v>
      </c>
      <c r="F82" s="1002">
        <v>2620.34</v>
      </c>
      <c r="G82" s="946">
        <f t="shared" ref="G82" si="34">D82/E82</f>
        <v>0.67574326201722701</v>
      </c>
      <c r="H82" s="946">
        <f t="shared" ref="H82" si="35">F82/E82</f>
        <v>7.280744651292026E-2</v>
      </c>
      <c r="I82" s="1001">
        <v>101900</v>
      </c>
      <c r="J82" s="1001">
        <v>58576</v>
      </c>
      <c r="K82" s="1002">
        <v>10561.9</v>
      </c>
      <c r="L82" s="946">
        <f t="shared" ref="L82" si="36">I82/J82</f>
        <v>1.7396203223163069</v>
      </c>
      <c r="M82" s="946">
        <f t="shared" ref="M82" si="37">K82/J82</f>
        <v>0.18031104889374489</v>
      </c>
      <c r="N82" s="1001">
        <v>99040</v>
      </c>
      <c r="O82" s="1001">
        <v>97302</v>
      </c>
      <c r="P82" s="1002">
        <v>10466.58</v>
      </c>
      <c r="Q82" s="946">
        <f t="shared" ref="Q82" si="38">N82/O82</f>
        <v>1.0178619144519125</v>
      </c>
      <c r="R82" s="946">
        <f t="shared" ref="R82" si="39">P82/O82</f>
        <v>0.10756798421409632</v>
      </c>
      <c r="S82" s="944">
        <f t="shared" ref="S82" si="40">D82+I82+N82</f>
        <v>225260</v>
      </c>
      <c r="T82" s="944">
        <f t="shared" ref="T82" si="41">E82+J82+O82</f>
        <v>191868</v>
      </c>
      <c r="U82" s="946">
        <f t="shared" ref="U82" si="42">((F82+K82+P82)/(E82+J82+O82))</f>
        <v>0.12325567577709676</v>
      </c>
      <c r="V82" s="948">
        <f t="shared" ref="V82" si="43">((D82+I82+N82)/(E82+J82+O82))</f>
        <v>1.1740363166343528</v>
      </c>
      <c r="W82" s="911">
        <f t="shared" ref="W82" si="44">D82+I82+N82</f>
        <v>225260</v>
      </c>
      <c r="X82" s="911">
        <f>'Production-Ciospi'!Y16</f>
        <v>155998.29958333331</v>
      </c>
      <c r="Y82" s="939">
        <f t="shared" ref="Y82" si="45">W82/X82</f>
        <v>1.4439900986207066</v>
      </c>
    </row>
    <row r="83" spans="1:25">
      <c r="A83" s="881" t="s">
        <v>965</v>
      </c>
      <c r="C83" s="949"/>
      <c r="D83" s="950"/>
      <c r="E83" s="950"/>
      <c r="F83" s="951"/>
      <c r="G83" s="952"/>
      <c r="H83" s="952"/>
      <c r="I83" s="953"/>
      <c r="J83" s="953"/>
      <c r="K83" s="954"/>
      <c r="L83" s="952"/>
      <c r="M83" s="952"/>
      <c r="N83" s="953"/>
      <c r="O83" s="950"/>
      <c r="P83" s="1751"/>
      <c r="Q83" s="952"/>
      <c r="R83" s="952"/>
      <c r="S83" s="950"/>
      <c r="T83" s="950"/>
      <c r="U83" s="952"/>
      <c r="V83" s="955"/>
      <c r="W83" s="911"/>
      <c r="X83" s="917"/>
      <c r="Y83" s="939"/>
    </row>
    <row r="84" spans="1:25">
      <c r="A84" t="s">
        <v>240</v>
      </c>
      <c r="C84" s="934" t="s">
        <v>978</v>
      </c>
      <c r="D84" s="1004">
        <v>25975</v>
      </c>
      <c r="E84" s="1004"/>
      <c r="F84" s="1005">
        <v>2784.99</v>
      </c>
      <c r="G84" s="937" t="e">
        <f t="shared" ref="G84" si="46">D84/E84</f>
        <v>#DIV/0!</v>
      </c>
      <c r="H84" s="937" t="e">
        <f t="shared" ref="H84" si="47">F84/E84</f>
        <v>#DIV/0!</v>
      </c>
      <c r="I84" s="1004">
        <v>100380</v>
      </c>
      <c r="J84" s="1004"/>
      <c r="K84" s="1005">
        <v>10410.73</v>
      </c>
      <c r="L84" s="937" t="e">
        <f t="shared" ref="L84" si="48">I84/J84</f>
        <v>#DIV/0!</v>
      </c>
      <c r="M84" s="937" t="e">
        <f t="shared" ref="M84" si="49">K84/J84</f>
        <v>#DIV/0!</v>
      </c>
      <c r="N84" s="1004">
        <v>118000</v>
      </c>
      <c r="O84" s="1004">
        <v>117860</v>
      </c>
      <c r="P84" s="1005">
        <v>12352.19</v>
      </c>
      <c r="Q84" s="937">
        <f t="shared" ref="Q84" si="50">N84/O84</f>
        <v>1.0011878499915154</v>
      </c>
      <c r="R84" s="937">
        <f t="shared" ref="R84" si="51">P84/O84</f>
        <v>0.10480391990497201</v>
      </c>
      <c r="S84" s="935">
        <f>D84+I84+N84</f>
        <v>244355</v>
      </c>
      <c r="T84" s="935">
        <f>E84+J84+O84</f>
        <v>117860</v>
      </c>
      <c r="U84" s="937">
        <f>((F84+K84+P84)/(E84+J84+O84))</f>
        <v>0.21676489054810794</v>
      </c>
      <c r="V84" s="938">
        <f t="shared" ref="V84" si="52">((D84+I84+N84)/(E84+J84+O84))</f>
        <v>2.0732648905481081</v>
      </c>
      <c r="W84" s="911">
        <f t="shared" ref="W84:W95" si="53">D84+I84+N84</f>
        <v>244355</v>
      </c>
      <c r="X84" s="911">
        <f>'Production-Ciospi'!Y27</f>
        <v>167055.83333333334</v>
      </c>
      <c r="Y84" s="939">
        <f t="shared" ref="Y84:Y95" si="54">W84/X84</f>
        <v>1.4627145614988999</v>
      </c>
    </row>
    <row r="85" spans="1:25">
      <c r="C85" s="940" t="s">
        <v>58</v>
      </c>
      <c r="D85" s="1001"/>
      <c r="E85" s="1001"/>
      <c r="F85" s="1002"/>
      <c r="G85" s="915" t="e">
        <f t="shared" ref="G85:G95" si="55">D85/E85</f>
        <v>#DIV/0!</v>
      </c>
      <c r="H85" s="915" t="e">
        <f t="shared" ref="H85:H95" si="56">F85/E85</f>
        <v>#DIV/0!</v>
      </c>
      <c r="I85" s="1001"/>
      <c r="J85" s="1001"/>
      <c r="K85" s="1002"/>
      <c r="L85" s="915" t="e">
        <f t="shared" ref="L85:L95" si="57">I85/J85</f>
        <v>#DIV/0!</v>
      </c>
      <c r="M85" s="915" t="e">
        <f t="shared" ref="M85:M95" si="58">K85/J85</f>
        <v>#DIV/0!</v>
      </c>
      <c r="N85" s="1001"/>
      <c r="O85" s="1001"/>
      <c r="P85" s="1002"/>
      <c r="Q85" s="915" t="e">
        <f t="shared" ref="Q85:Q95" si="59">N85/O85</f>
        <v>#DIV/0!</v>
      </c>
      <c r="R85" s="915" t="e">
        <f t="shared" ref="R85:R95" si="60">P85/O85</f>
        <v>#DIV/0!</v>
      </c>
      <c r="S85" s="912">
        <f t="shared" ref="S85:S95" si="61">D85+I85+N85</f>
        <v>0</v>
      </c>
      <c r="T85" s="912">
        <f t="shared" ref="T85:T95" si="62">E85+J85+O85</f>
        <v>0</v>
      </c>
      <c r="U85" s="915" t="e">
        <f t="shared" ref="U85:U95" si="63">((F85+K85+P85)/(E85+J85+O85))</f>
        <v>#DIV/0!</v>
      </c>
      <c r="V85" s="941" t="e">
        <f t="shared" ref="V85:V95" si="64">((D85+I85+N85)/(E85+J85+O85))</f>
        <v>#DIV/0!</v>
      </c>
      <c r="W85" s="911">
        <f t="shared" si="53"/>
        <v>0</v>
      </c>
      <c r="X85" s="911">
        <f>'Production-Ciospi'!Y28</f>
        <v>0</v>
      </c>
      <c r="Y85" s="939" t="e">
        <f t="shared" si="54"/>
        <v>#DIV/0!</v>
      </c>
    </row>
    <row r="86" spans="1:25">
      <c r="C86" s="940" t="s">
        <v>979</v>
      </c>
      <c r="D86" s="1001"/>
      <c r="E86" s="1001"/>
      <c r="F86" s="1002"/>
      <c r="G86" s="915" t="e">
        <f t="shared" si="55"/>
        <v>#DIV/0!</v>
      </c>
      <c r="H86" s="915" t="e">
        <f t="shared" si="56"/>
        <v>#DIV/0!</v>
      </c>
      <c r="I86" s="1001"/>
      <c r="J86" s="1001"/>
      <c r="K86" s="1002"/>
      <c r="L86" s="915" t="e">
        <f t="shared" si="57"/>
        <v>#DIV/0!</v>
      </c>
      <c r="M86" s="915" t="e">
        <f t="shared" si="58"/>
        <v>#DIV/0!</v>
      </c>
      <c r="N86" s="1001"/>
      <c r="O86" s="1001"/>
      <c r="P86" s="1002"/>
      <c r="Q86" s="915" t="e">
        <f t="shared" si="59"/>
        <v>#DIV/0!</v>
      </c>
      <c r="R86" s="915" t="e">
        <f t="shared" si="60"/>
        <v>#DIV/0!</v>
      </c>
      <c r="S86" s="912">
        <f t="shared" si="61"/>
        <v>0</v>
      </c>
      <c r="T86" s="912">
        <f t="shared" si="62"/>
        <v>0</v>
      </c>
      <c r="U86" s="915" t="e">
        <f t="shared" si="63"/>
        <v>#DIV/0!</v>
      </c>
      <c r="V86" s="941" t="e">
        <f t="shared" si="64"/>
        <v>#DIV/0!</v>
      </c>
      <c r="W86" s="911">
        <f t="shared" si="53"/>
        <v>0</v>
      </c>
      <c r="X86" s="911">
        <f>'Production-Ciospi'!Y29</f>
        <v>0</v>
      </c>
      <c r="Y86" s="939" t="e">
        <f t="shared" si="54"/>
        <v>#DIV/0!</v>
      </c>
    </row>
    <row r="87" spans="1:25">
      <c r="C87" s="940" t="s">
        <v>980</v>
      </c>
      <c r="D87" s="1001"/>
      <c r="E87" s="1001"/>
      <c r="F87" s="1002"/>
      <c r="G87" s="915" t="e">
        <f t="shared" si="55"/>
        <v>#DIV/0!</v>
      </c>
      <c r="H87" s="915" t="e">
        <f t="shared" si="56"/>
        <v>#DIV/0!</v>
      </c>
      <c r="I87" s="1001"/>
      <c r="J87" s="1001"/>
      <c r="K87" s="1002"/>
      <c r="L87" s="915" t="e">
        <f t="shared" si="57"/>
        <v>#DIV/0!</v>
      </c>
      <c r="M87" s="915" t="e">
        <f t="shared" si="58"/>
        <v>#DIV/0!</v>
      </c>
      <c r="N87" s="1001"/>
      <c r="O87" s="1001"/>
      <c r="P87" s="1002"/>
      <c r="Q87" s="915" t="e">
        <f t="shared" si="59"/>
        <v>#DIV/0!</v>
      </c>
      <c r="R87" s="915" t="e">
        <f t="shared" si="60"/>
        <v>#DIV/0!</v>
      </c>
      <c r="S87" s="912">
        <f t="shared" si="61"/>
        <v>0</v>
      </c>
      <c r="T87" s="912">
        <f t="shared" si="62"/>
        <v>0</v>
      </c>
      <c r="U87" s="915" t="e">
        <f t="shared" si="63"/>
        <v>#DIV/0!</v>
      </c>
      <c r="V87" s="941" t="e">
        <f t="shared" si="64"/>
        <v>#DIV/0!</v>
      </c>
      <c r="W87" s="911">
        <f t="shared" si="53"/>
        <v>0</v>
      </c>
      <c r="X87" s="911">
        <f>'Production-Ciospi'!Y30</f>
        <v>0</v>
      </c>
      <c r="Y87" s="939" t="e">
        <f t="shared" si="54"/>
        <v>#DIV/0!</v>
      </c>
    </row>
    <row r="88" spans="1:25">
      <c r="C88" s="940" t="s">
        <v>79</v>
      </c>
      <c r="D88" s="1001"/>
      <c r="E88" s="1001"/>
      <c r="F88" s="1002"/>
      <c r="G88" s="915" t="e">
        <f t="shared" si="55"/>
        <v>#DIV/0!</v>
      </c>
      <c r="H88" s="915" t="e">
        <f t="shared" si="56"/>
        <v>#DIV/0!</v>
      </c>
      <c r="I88" s="1001"/>
      <c r="J88" s="1001"/>
      <c r="K88" s="1002"/>
      <c r="L88" s="915" t="e">
        <f t="shared" si="57"/>
        <v>#DIV/0!</v>
      </c>
      <c r="M88" s="915" t="e">
        <f t="shared" si="58"/>
        <v>#DIV/0!</v>
      </c>
      <c r="N88" s="1001"/>
      <c r="O88" s="1001"/>
      <c r="P88" s="1002"/>
      <c r="Q88" s="915" t="e">
        <f t="shared" si="59"/>
        <v>#DIV/0!</v>
      </c>
      <c r="R88" s="915" t="e">
        <f t="shared" si="60"/>
        <v>#DIV/0!</v>
      </c>
      <c r="S88" s="912">
        <f t="shared" si="61"/>
        <v>0</v>
      </c>
      <c r="T88" s="912">
        <f t="shared" si="62"/>
        <v>0</v>
      </c>
      <c r="U88" s="915" t="e">
        <f t="shared" si="63"/>
        <v>#DIV/0!</v>
      </c>
      <c r="V88" s="941" t="e">
        <f t="shared" si="64"/>
        <v>#DIV/0!</v>
      </c>
      <c r="W88" s="911">
        <f t="shared" si="53"/>
        <v>0</v>
      </c>
      <c r="X88" s="911">
        <f>'Production-Ciospi'!Y31</f>
        <v>0</v>
      </c>
      <c r="Y88" s="939" t="e">
        <f t="shared" si="54"/>
        <v>#DIV/0!</v>
      </c>
    </row>
    <row r="89" spans="1:25">
      <c r="C89" s="940" t="s">
        <v>71</v>
      </c>
      <c r="D89" s="1001"/>
      <c r="E89" s="1001"/>
      <c r="F89" s="1002"/>
      <c r="G89" s="915" t="e">
        <f t="shared" si="55"/>
        <v>#DIV/0!</v>
      </c>
      <c r="H89" s="915" t="e">
        <f t="shared" si="56"/>
        <v>#DIV/0!</v>
      </c>
      <c r="I89" s="1001"/>
      <c r="J89" s="1001"/>
      <c r="K89" s="1002"/>
      <c r="L89" s="915" t="e">
        <f t="shared" si="57"/>
        <v>#DIV/0!</v>
      </c>
      <c r="M89" s="915" t="e">
        <f t="shared" si="58"/>
        <v>#DIV/0!</v>
      </c>
      <c r="N89" s="1001"/>
      <c r="O89" s="1001"/>
      <c r="P89" s="1002"/>
      <c r="Q89" s="915" t="e">
        <f t="shared" si="59"/>
        <v>#DIV/0!</v>
      </c>
      <c r="R89" s="915" t="e">
        <f t="shared" si="60"/>
        <v>#DIV/0!</v>
      </c>
      <c r="S89" s="912">
        <f t="shared" si="61"/>
        <v>0</v>
      </c>
      <c r="T89" s="912">
        <f t="shared" si="62"/>
        <v>0</v>
      </c>
      <c r="U89" s="915" t="e">
        <f t="shared" si="63"/>
        <v>#DIV/0!</v>
      </c>
      <c r="V89" s="941" t="e">
        <f t="shared" si="64"/>
        <v>#DIV/0!</v>
      </c>
      <c r="W89" s="911">
        <f t="shared" si="53"/>
        <v>0</v>
      </c>
      <c r="X89" s="911">
        <f>'Production-Ciospi'!Y32</f>
        <v>0</v>
      </c>
      <c r="Y89" s="939" t="e">
        <f t="shared" si="54"/>
        <v>#DIV/0!</v>
      </c>
    </row>
    <row r="90" spans="1:25">
      <c r="C90" s="940" t="s">
        <v>981</v>
      </c>
      <c r="D90" s="1001"/>
      <c r="E90" s="1001"/>
      <c r="F90" s="1002"/>
      <c r="G90" s="915" t="e">
        <f t="shared" si="55"/>
        <v>#DIV/0!</v>
      </c>
      <c r="H90" s="915" t="e">
        <f t="shared" si="56"/>
        <v>#DIV/0!</v>
      </c>
      <c r="I90" s="1001"/>
      <c r="J90" s="1001"/>
      <c r="K90" s="1002"/>
      <c r="L90" s="915" t="e">
        <f t="shared" si="57"/>
        <v>#DIV/0!</v>
      </c>
      <c r="M90" s="915" t="e">
        <f t="shared" si="58"/>
        <v>#DIV/0!</v>
      </c>
      <c r="N90" s="1001"/>
      <c r="O90" s="1001"/>
      <c r="P90" s="1002"/>
      <c r="Q90" s="915" t="e">
        <f t="shared" si="59"/>
        <v>#DIV/0!</v>
      </c>
      <c r="R90" s="915" t="e">
        <f t="shared" si="60"/>
        <v>#DIV/0!</v>
      </c>
      <c r="S90" s="912">
        <f t="shared" si="61"/>
        <v>0</v>
      </c>
      <c r="T90" s="912">
        <f t="shared" si="62"/>
        <v>0</v>
      </c>
      <c r="U90" s="915" t="e">
        <f t="shared" si="63"/>
        <v>#DIV/0!</v>
      </c>
      <c r="V90" s="941" t="e">
        <f t="shared" si="64"/>
        <v>#DIV/0!</v>
      </c>
      <c r="W90" s="911">
        <f t="shared" si="53"/>
        <v>0</v>
      </c>
      <c r="X90" s="911">
        <f>'Production-Ciospi'!Y33</f>
        <v>0</v>
      </c>
      <c r="Y90" s="939" t="e">
        <f t="shared" si="54"/>
        <v>#DIV/0!</v>
      </c>
    </row>
    <row r="91" spans="1:25">
      <c r="C91" s="940" t="s">
        <v>982</v>
      </c>
      <c r="D91" s="1001"/>
      <c r="E91" s="1001"/>
      <c r="F91" s="1002"/>
      <c r="G91" s="915" t="e">
        <f t="shared" si="55"/>
        <v>#DIV/0!</v>
      </c>
      <c r="H91" s="915" t="e">
        <f t="shared" si="56"/>
        <v>#DIV/0!</v>
      </c>
      <c r="I91" s="1001"/>
      <c r="J91" s="1001"/>
      <c r="K91" s="1002"/>
      <c r="L91" s="915" t="e">
        <f t="shared" si="57"/>
        <v>#DIV/0!</v>
      </c>
      <c r="M91" s="915" t="e">
        <f t="shared" si="58"/>
        <v>#DIV/0!</v>
      </c>
      <c r="N91" s="1001"/>
      <c r="O91" s="1001"/>
      <c r="P91" s="1002"/>
      <c r="Q91" s="915" t="e">
        <f t="shared" si="59"/>
        <v>#DIV/0!</v>
      </c>
      <c r="R91" s="915" t="e">
        <f t="shared" si="60"/>
        <v>#DIV/0!</v>
      </c>
      <c r="S91" s="912">
        <f t="shared" si="61"/>
        <v>0</v>
      </c>
      <c r="T91" s="912">
        <f t="shared" si="62"/>
        <v>0</v>
      </c>
      <c r="U91" s="915" t="e">
        <f t="shared" si="63"/>
        <v>#DIV/0!</v>
      </c>
      <c r="V91" s="941" t="e">
        <f t="shared" si="64"/>
        <v>#DIV/0!</v>
      </c>
      <c r="W91" s="911">
        <f t="shared" si="53"/>
        <v>0</v>
      </c>
      <c r="X91" s="911">
        <f>'Production-Ciospi'!Y34</f>
        <v>0</v>
      </c>
      <c r="Y91" s="939" t="e">
        <f t="shared" si="54"/>
        <v>#DIV/0!</v>
      </c>
    </row>
    <row r="92" spans="1:25">
      <c r="C92" s="940" t="s">
        <v>983</v>
      </c>
      <c r="D92" s="1001"/>
      <c r="E92" s="1001"/>
      <c r="F92" s="1002"/>
      <c r="G92" s="915" t="e">
        <f t="shared" si="55"/>
        <v>#DIV/0!</v>
      </c>
      <c r="H92" s="915" t="e">
        <f t="shared" si="56"/>
        <v>#DIV/0!</v>
      </c>
      <c r="I92" s="1001"/>
      <c r="J92" s="1001"/>
      <c r="K92" s="1002"/>
      <c r="L92" s="915" t="e">
        <f t="shared" si="57"/>
        <v>#DIV/0!</v>
      </c>
      <c r="M92" s="915" t="e">
        <f t="shared" si="58"/>
        <v>#DIV/0!</v>
      </c>
      <c r="N92" s="1001"/>
      <c r="O92" s="1001"/>
      <c r="P92" s="1002"/>
      <c r="Q92" s="915" t="e">
        <f t="shared" si="59"/>
        <v>#DIV/0!</v>
      </c>
      <c r="R92" s="915" t="e">
        <f t="shared" si="60"/>
        <v>#DIV/0!</v>
      </c>
      <c r="S92" s="912">
        <f t="shared" si="61"/>
        <v>0</v>
      </c>
      <c r="T92" s="912">
        <f t="shared" si="62"/>
        <v>0</v>
      </c>
      <c r="U92" s="915" t="e">
        <f t="shared" si="63"/>
        <v>#DIV/0!</v>
      </c>
      <c r="V92" s="941" t="e">
        <f t="shared" si="64"/>
        <v>#DIV/0!</v>
      </c>
      <c r="W92" s="911">
        <f t="shared" si="53"/>
        <v>0</v>
      </c>
      <c r="X92" s="911">
        <f>'Production-Ciospi'!Y35</f>
        <v>0</v>
      </c>
      <c r="Y92" s="939" t="e">
        <f t="shared" si="54"/>
        <v>#DIV/0!</v>
      </c>
    </row>
    <row r="93" spans="1:25">
      <c r="C93" s="940" t="s">
        <v>984</v>
      </c>
      <c r="D93" s="1001"/>
      <c r="E93" s="1001"/>
      <c r="F93" s="1002"/>
      <c r="G93" s="915" t="e">
        <f t="shared" si="55"/>
        <v>#DIV/0!</v>
      </c>
      <c r="H93" s="915" t="e">
        <f t="shared" si="56"/>
        <v>#DIV/0!</v>
      </c>
      <c r="I93" s="1001"/>
      <c r="J93" s="1001"/>
      <c r="K93" s="1002"/>
      <c r="L93" s="915" t="e">
        <f t="shared" si="57"/>
        <v>#DIV/0!</v>
      </c>
      <c r="M93" s="915" t="e">
        <f t="shared" si="58"/>
        <v>#DIV/0!</v>
      </c>
      <c r="N93" s="1001"/>
      <c r="O93" s="1001"/>
      <c r="P93" s="1002"/>
      <c r="Q93" s="915" t="e">
        <f t="shared" si="59"/>
        <v>#DIV/0!</v>
      </c>
      <c r="R93" s="915" t="e">
        <f t="shared" si="60"/>
        <v>#DIV/0!</v>
      </c>
      <c r="S93" s="912">
        <f t="shared" si="61"/>
        <v>0</v>
      </c>
      <c r="T93" s="912">
        <f t="shared" si="62"/>
        <v>0</v>
      </c>
      <c r="U93" s="915" t="e">
        <f t="shared" si="63"/>
        <v>#DIV/0!</v>
      </c>
      <c r="V93" s="941" t="e">
        <f t="shared" si="64"/>
        <v>#DIV/0!</v>
      </c>
      <c r="W93" s="911">
        <f t="shared" si="53"/>
        <v>0</v>
      </c>
      <c r="X93" s="911">
        <f>'Production-Ciospi'!Y36</f>
        <v>0</v>
      </c>
      <c r="Y93" s="939" t="e">
        <f t="shared" si="54"/>
        <v>#DIV/0!</v>
      </c>
    </row>
    <row r="94" spans="1:25">
      <c r="C94" s="940" t="s">
        <v>985</v>
      </c>
      <c r="D94" s="1001"/>
      <c r="E94" s="1001"/>
      <c r="F94" s="1002"/>
      <c r="G94" s="915" t="e">
        <f t="shared" si="55"/>
        <v>#DIV/0!</v>
      </c>
      <c r="H94" s="915" t="e">
        <f t="shared" si="56"/>
        <v>#DIV/0!</v>
      </c>
      <c r="I94" s="1001"/>
      <c r="J94" s="1001"/>
      <c r="K94" s="1002"/>
      <c r="L94" s="915" t="e">
        <f t="shared" si="57"/>
        <v>#DIV/0!</v>
      </c>
      <c r="M94" s="915" t="e">
        <f t="shared" si="58"/>
        <v>#DIV/0!</v>
      </c>
      <c r="N94" s="1001"/>
      <c r="O94" s="1001"/>
      <c r="P94" s="1002"/>
      <c r="Q94" s="915" t="e">
        <f t="shared" si="59"/>
        <v>#DIV/0!</v>
      </c>
      <c r="R94" s="915" t="e">
        <f t="shared" si="60"/>
        <v>#DIV/0!</v>
      </c>
      <c r="S94" s="912">
        <f t="shared" si="61"/>
        <v>0</v>
      </c>
      <c r="T94" s="912">
        <f t="shared" si="62"/>
        <v>0</v>
      </c>
      <c r="U94" s="915" t="e">
        <f t="shared" si="63"/>
        <v>#DIV/0!</v>
      </c>
      <c r="V94" s="941" t="e">
        <f t="shared" si="64"/>
        <v>#DIV/0!</v>
      </c>
      <c r="W94" s="911">
        <f t="shared" si="53"/>
        <v>0</v>
      </c>
      <c r="X94" s="911">
        <f>'Production-Ciospi'!Y37</f>
        <v>0</v>
      </c>
      <c r="Y94" s="939" t="e">
        <f t="shared" si="54"/>
        <v>#DIV/0!</v>
      </c>
    </row>
    <row r="95" spans="1:25" ht="15.75" thickBot="1">
      <c r="C95" s="943" t="s">
        <v>986</v>
      </c>
      <c r="D95" s="1006"/>
      <c r="E95" s="1006"/>
      <c r="F95" s="1007"/>
      <c r="G95" s="946" t="e">
        <f t="shared" si="55"/>
        <v>#DIV/0!</v>
      </c>
      <c r="H95" s="946" t="e">
        <f t="shared" si="56"/>
        <v>#DIV/0!</v>
      </c>
      <c r="I95" s="944"/>
      <c r="J95" s="944"/>
      <c r="K95" s="947"/>
      <c r="L95" s="946" t="e">
        <f t="shared" si="57"/>
        <v>#DIV/0!</v>
      </c>
      <c r="M95" s="946" t="e">
        <f t="shared" si="58"/>
        <v>#DIV/0!</v>
      </c>
      <c r="N95" s="944"/>
      <c r="O95" s="944"/>
      <c r="P95" s="947"/>
      <c r="Q95" s="946" t="e">
        <f t="shared" si="59"/>
        <v>#DIV/0!</v>
      </c>
      <c r="R95" s="946" t="e">
        <f t="shared" si="60"/>
        <v>#DIV/0!</v>
      </c>
      <c r="S95" s="944">
        <f t="shared" si="61"/>
        <v>0</v>
      </c>
      <c r="T95" s="944">
        <f t="shared" si="62"/>
        <v>0</v>
      </c>
      <c r="U95" s="946" t="e">
        <f t="shared" si="63"/>
        <v>#DIV/0!</v>
      </c>
      <c r="V95" s="948" t="e">
        <f t="shared" si="64"/>
        <v>#DIV/0!</v>
      </c>
      <c r="W95" s="911">
        <f t="shared" si="53"/>
        <v>0</v>
      </c>
      <c r="X95" s="911">
        <f>'Production-Ciospi'!Y38</f>
        <v>0</v>
      </c>
      <c r="Y95" s="939" t="e">
        <f t="shared" si="54"/>
        <v>#DIV/0!</v>
      </c>
    </row>
  </sheetData>
  <mergeCells count="6">
    <mergeCell ref="C1:K1"/>
    <mergeCell ref="C3:V3"/>
    <mergeCell ref="C4:H4"/>
    <mergeCell ref="I4:M4"/>
    <mergeCell ref="N4:R4"/>
    <mergeCell ref="S4:V4"/>
  </mergeCell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87C91-AE0F-4349-906D-1A45F8C7322D}">
  <dimension ref="A1:W94"/>
  <sheetViews>
    <sheetView showGridLines="0" workbookViewId="0">
      <pane xSplit="3" ySplit="4" topLeftCell="D76" activePane="bottomRight" state="frozen"/>
      <selection pane="topRight" activeCell="X84" sqref="X84"/>
      <selection pane="bottomLeft" activeCell="X84" sqref="X84"/>
      <selection pane="bottomRight" activeCell="D85" sqref="D85"/>
    </sheetView>
  </sheetViews>
  <sheetFormatPr defaultRowHeight="15"/>
  <cols>
    <col min="1" max="1" width="35.140625" customWidth="1"/>
    <col min="2" max="2" width="2.140625" customWidth="1"/>
    <col min="3" max="3" width="8" bestFit="1" customWidth="1"/>
    <col min="4" max="4" width="9.140625" customWidth="1"/>
    <col min="5" max="5" width="11.7109375" bestFit="1" customWidth="1"/>
    <col min="6" max="6" width="11.5703125" bestFit="1" customWidth="1"/>
    <col min="11" max="11" width="11.7109375" bestFit="1" customWidth="1"/>
    <col min="12" max="12" width="11.5703125" bestFit="1" customWidth="1"/>
    <col min="20" max="20" width="9.85546875" bestFit="1" customWidth="1"/>
    <col min="21" max="21" width="12.7109375" bestFit="1" customWidth="1"/>
    <col min="22" max="22" width="11.5703125" bestFit="1" customWidth="1"/>
    <col min="23" max="23" width="12.5703125" bestFit="1" customWidth="1"/>
  </cols>
  <sheetData>
    <row r="1" spans="1:23" ht="18.75">
      <c r="D1" s="2057" t="s">
        <v>715</v>
      </c>
      <c r="E1" s="2057"/>
      <c r="F1" s="2057"/>
      <c r="G1" s="2057"/>
      <c r="H1" s="2057"/>
      <c r="I1" s="2057"/>
      <c r="J1" s="2057"/>
      <c r="K1" s="2057"/>
      <c r="L1" s="2057"/>
    </row>
    <row r="2" spans="1:23" ht="18.75">
      <c r="C2" s="2114" t="s">
        <v>987</v>
      </c>
      <c r="D2" s="2115"/>
      <c r="E2" s="2115"/>
      <c r="F2" s="2115"/>
      <c r="G2" s="2115"/>
      <c r="H2" s="2115"/>
      <c r="I2" s="2115"/>
      <c r="J2" s="2115"/>
      <c r="K2" s="2115"/>
      <c r="L2" s="2115"/>
      <c r="M2" s="2115"/>
      <c r="N2" s="2115"/>
      <c r="O2" s="2115"/>
      <c r="P2" s="2115"/>
      <c r="Q2" s="2115"/>
      <c r="R2" s="2115"/>
      <c r="S2" s="2115"/>
      <c r="T2" s="665"/>
      <c r="U2" s="665"/>
      <c r="V2" s="665"/>
      <c r="W2" s="917"/>
    </row>
    <row r="3" spans="1:23" ht="15.75">
      <c r="C3" s="2116" t="s">
        <v>894</v>
      </c>
      <c r="D3" s="2116"/>
      <c r="E3" s="2116"/>
      <c r="F3" s="2116"/>
      <c r="G3" s="2116"/>
      <c r="H3" s="2116"/>
      <c r="I3" s="2116" t="s">
        <v>895</v>
      </c>
      <c r="J3" s="2116"/>
      <c r="K3" s="2116"/>
      <c r="L3" s="2116"/>
      <c r="M3" s="2116"/>
      <c r="N3" s="2116"/>
      <c r="O3" s="2117" t="s">
        <v>897</v>
      </c>
      <c r="P3" s="2118"/>
      <c r="Q3" s="2118"/>
      <c r="R3" s="2118"/>
      <c r="S3" s="2119"/>
      <c r="T3" s="665"/>
      <c r="U3" s="665"/>
      <c r="V3" s="665"/>
      <c r="W3" s="917"/>
    </row>
    <row r="4" spans="1:23" ht="45">
      <c r="A4" s="880" t="s">
        <v>338</v>
      </c>
      <c r="C4" s="958" t="s">
        <v>121</v>
      </c>
      <c r="D4" s="958" t="s">
        <v>988</v>
      </c>
      <c r="E4" s="959" t="s">
        <v>899</v>
      </c>
      <c r="F4" s="958" t="s">
        <v>900</v>
      </c>
      <c r="G4" s="960" t="s">
        <v>989</v>
      </c>
      <c r="H4" s="960" t="s">
        <v>901</v>
      </c>
      <c r="I4" s="958" t="s">
        <v>121</v>
      </c>
      <c r="J4" s="958" t="s">
        <v>988</v>
      </c>
      <c r="K4" s="959" t="s">
        <v>899</v>
      </c>
      <c r="L4" s="958" t="s">
        <v>900</v>
      </c>
      <c r="M4" s="960" t="s">
        <v>989</v>
      </c>
      <c r="N4" s="960" t="s">
        <v>901</v>
      </c>
      <c r="O4" s="960" t="s">
        <v>990</v>
      </c>
      <c r="P4" s="960" t="s">
        <v>903</v>
      </c>
      <c r="Q4" s="960" t="s">
        <v>901</v>
      </c>
      <c r="R4" s="960" t="s">
        <v>989</v>
      </c>
      <c r="S4" s="960" t="s">
        <v>161</v>
      </c>
      <c r="T4" s="665" t="s">
        <v>990</v>
      </c>
      <c r="U4" s="665" t="s">
        <v>991</v>
      </c>
      <c r="V4" s="665" t="s">
        <v>295</v>
      </c>
      <c r="W4" s="917" t="s">
        <v>161</v>
      </c>
    </row>
    <row r="5" spans="1:23" hidden="1">
      <c r="A5" s="881" t="s">
        <v>716</v>
      </c>
      <c r="C5" s="961" t="s">
        <v>992</v>
      </c>
      <c r="D5" s="912">
        <v>61306.73</v>
      </c>
      <c r="E5" s="913">
        <v>72078.240000000005</v>
      </c>
      <c r="F5" s="916">
        <v>6404.58</v>
      </c>
      <c r="G5" s="915">
        <f t="shared" ref="G5:G68" si="0">D5/E5</f>
        <v>0.85055808798882993</v>
      </c>
      <c r="H5" s="915">
        <f t="shared" ref="H5:H29" si="1">F5/E5</f>
        <v>8.8855943208380223E-2</v>
      </c>
      <c r="I5" s="961" t="s">
        <v>992</v>
      </c>
      <c r="J5" s="912">
        <v>1985</v>
      </c>
      <c r="K5" s="912">
        <v>46498</v>
      </c>
      <c r="L5" s="916">
        <v>1337.03</v>
      </c>
      <c r="M5" s="915">
        <f t="shared" ref="M5:M68" si="2">J5/K5</f>
        <v>4.269000817239451E-2</v>
      </c>
      <c r="N5" s="915">
        <f t="shared" ref="N5:N29" si="3">L5/K5</f>
        <v>2.8754570089036088E-2</v>
      </c>
      <c r="O5" s="915"/>
      <c r="P5" s="915"/>
      <c r="Q5" s="915">
        <f>((F5+L5)/(E5+K5))</f>
        <v>6.5288037468551871E-2</v>
      </c>
      <c r="R5" s="962">
        <f>((D5+J5)/(E5+K5))</f>
        <v>0.53376401545537289</v>
      </c>
      <c r="S5" s="963">
        <f t="shared" ref="S5:S43" si="4">R5/26.8</f>
        <v>1.9916567740872124E-2</v>
      </c>
      <c r="T5" s="911">
        <f t="shared" ref="T5:T68" si="5">D5+J5</f>
        <v>63291.73</v>
      </c>
      <c r="U5" s="964">
        <f t="shared" ref="U5:U68" si="6">T5/26.8</f>
        <v>2361.6317164179104</v>
      </c>
      <c r="V5" s="665"/>
      <c r="W5" s="917"/>
    </row>
    <row r="6" spans="1:23" hidden="1">
      <c r="A6" t="s">
        <v>240</v>
      </c>
      <c r="C6" s="961" t="s">
        <v>993</v>
      </c>
      <c r="D6" s="912">
        <v>51330.12</v>
      </c>
      <c r="E6" s="913">
        <v>82209.23</v>
      </c>
      <c r="F6" s="916">
        <f>5371.61</f>
        <v>5371.61</v>
      </c>
      <c r="G6" s="915">
        <f t="shared" si="0"/>
        <v>0.62438390433774904</v>
      </c>
      <c r="H6" s="915">
        <f t="shared" si="1"/>
        <v>6.5340716608098634E-2</v>
      </c>
      <c r="I6" s="961" t="s">
        <v>993</v>
      </c>
      <c r="J6" s="912">
        <v>6088</v>
      </c>
      <c r="K6" s="912">
        <v>63179</v>
      </c>
      <c r="L6" s="916">
        <v>687.56</v>
      </c>
      <c r="M6" s="915">
        <f t="shared" si="2"/>
        <v>9.6361132654837839E-2</v>
      </c>
      <c r="N6" s="915">
        <f t="shared" si="3"/>
        <v>1.0882730021051298E-2</v>
      </c>
      <c r="O6" s="915"/>
      <c r="P6" s="915"/>
      <c r="Q6" s="915">
        <f t="shared" ref="Q6:Q66" si="7">((F6+L6)/(E6+K6))</f>
        <v>4.1675794526145622E-2</v>
      </c>
      <c r="R6" s="962">
        <f t="shared" ref="R6:R68" si="8">((D6+J6)/(E6+K6))</f>
        <v>0.39492963082362315</v>
      </c>
      <c r="S6" s="963">
        <f t="shared" si="4"/>
        <v>1.4736180254612803E-2</v>
      </c>
      <c r="T6" s="911">
        <f t="shared" si="5"/>
        <v>57418.12</v>
      </c>
      <c r="U6" s="964">
        <f t="shared" si="6"/>
        <v>2142.4671641791047</v>
      </c>
      <c r="V6" s="665"/>
      <c r="W6" s="917"/>
    </row>
    <row r="7" spans="1:23" hidden="1">
      <c r="A7" t="s">
        <v>994</v>
      </c>
      <c r="C7" s="961" t="s">
        <v>995</v>
      </c>
      <c r="D7" s="912">
        <v>52425.84</v>
      </c>
      <c r="E7" s="913">
        <v>83385.78</v>
      </c>
      <c r="F7" s="916">
        <f>5485.05</f>
        <v>5485.05</v>
      </c>
      <c r="G7" s="915">
        <f t="shared" si="0"/>
        <v>0.62871439231005566</v>
      </c>
      <c r="H7" s="915">
        <f t="shared" si="1"/>
        <v>6.577920120193155E-2</v>
      </c>
      <c r="I7" s="961" t="s">
        <v>995</v>
      </c>
      <c r="J7" s="912">
        <v>7018.96</v>
      </c>
      <c r="K7" s="912">
        <v>52808</v>
      </c>
      <c r="L7" s="916">
        <v>783.96</v>
      </c>
      <c r="M7" s="915">
        <f t="shared" si="2"/>
        <v>0.13291470989244053</v>
      </c>
      <c r="N7" s="915">
        <f t="shared" si="3"/>
        <v>1.484547795788517E-2</v>
      </c>
      <c r="O7" s="915"/>
      <c r="P7" s="915"/>
      <c r="Q7" s="915">
        <f t="shared" si="7"/>
        <v>4.6030075675996367E-2</v>
      </c>
      <c r="R7" s="962">
        <f t="shared" si="8"/>
        <v>0.43647220893641397</v>
      </c>
      <c r="S7" s="963">
        <f t="shared" si="4"/>
        <v>1.6286276452851266E-2</v>
      </c>
      <c r="T7" s="911">
        <f t="shared" si="5"/>
        <v>59444.799999999996</v>
      </c>
      <c r="U7" s="964">
        <f t="shared" si="6"/>
        <v>2218.0895522388059</v>
      </c>
      <c r="V7" s="665"/>
      <c r="W7" s="917"/>
    </row>
    <row r="8" spans="1:23" hidden="1">
      <c r="A8" t="s">
        <v>996</v>
      </c>
      <c r="C8" s="961" t="s">
        <v>997</v>
      </c>
      <c r="D8" s="912">
        <v>47562.58</v>
      </c>
      <c r="E8" s="913">
        <v>75139.91</v>
      </c>
      <c r="F8" s="916">
        <f>4964.46</f>
        <v>4964.46</v>
      </c>
      <c r="G8" s="915">
        <f t="shared" si="0"/>
        <v>0.63298691733860213</v>
      </c>
      <c r="H8" s="915">
        <f t="shared" si="1"/>
        <v>6.6069549457804772E-2</v>
      </c>
      <c r="I8" s="961" t="s">
        <v>997</v>
      </c>
      <c r="J8" s="912">
        <v>13877.14</v>
      </c>
      <c r="K8" s="912">
        <v>75337</v>
      </c>
      <c r="L8" s="916">
        <v>1490.45</v>
      </c>
      <c r="M8" s="915">
        <f t="shared" si="2"/>
        <v>0.18420085748038811</v>
      </c>
      <c r="N8" s="915">
        <f t="shared" si="3"/>
        <v>1.9783771586338719E-2</v>
      </c>
      <c r="O8" s="915"/>
      <c r="P8" s="915"/>
      <c r="Q8" s="915">
        <f t="shared" si="7"/>
        <v>4.2896348682332726E-2</v>
      </c>
      <c r="R8" s="962">
        <f t="shared" si="8"/>
        <v>0.40829998436304943</v>
      </c>
      <c r="S8" s="963">
        <f t="shared" si="4"/>
        <v>1.5235074043397367E-2</v>
      </c>
      <c r="T8" s="911">
        <f t="shared" si="5"/>
        <v>61439.72</v>
      </c>
      <c r="U8" s="964">
        <f t="shared" si="6"/>
        <v>2292.5268656716416</v>
      </c>
      <c r="V8" s="665"/>
      <c r="W8" s="917"/>
    </row>
    <row r="9" spans="1:23" hidden="1">
      <c r="C9" s="961" t="s">
        <v>998</v>
      </c>
      <c r="D9" s="912">
        <v>57291.07</v>
      </c>
      <c r="E9" s="913">
        <v>80237.039999999994</v>
      </c>
      <c r="F9" s="916">
        <f>5970.7</f>
        <v>5970.7</v>
      </c>
      <c r="G9" s="915">
        <f t="shared" si="0"/>
        <v>0.71402272566385805</v>
      </c>
      <c r="H9" s="915">
        <f t="shared" si="1"/>
        <v>7.4413263500248766E-2</v>
      </c>
      <c r="I9" s="961" t="s">
        <v>998</v>
      </c>
      <c r="J9" s="912">
        <v>20457.41</v>
      </c>
      <c r="K9" s="912">
        <v>87632</v>
      </c>
      <c r="L9" s="916">
        <v>2168.8000000000002</v>
      </c>
      <c r="M9" s="915">
        <f t="shared" si="2"/>
        <v>0.23344680025561437</v>
      </c>
      <c r="N9" s="915">
        <f t="shared" si="3"/>
        <v>2.4748950155194453E-2</v>
      </c>
      <c r="O9" s="915"/>
      <c r="P9" s="915"/>
      <c r="Q9" s="915">
        <f t="shared" si="7"/>
        <v>4.8487201690079369E-2</v>
      </c>
      <c r="R9" s="962">
        <f t="shared" si="8"/>
        <v>0.46314960757504781</v>
      </c>
      <c r="S9" s="963">
        <f t="shared" si="4"/>
        <v>1.7281701775188351E-2</v>
      </c>
      <c r="T9" s="911">
        <f t="shared" si="5"/>
        <v>77748.479999999996</v>
      </c>
      <c r="U9" s="964">
        <f t="shared" si="6"/>
        <v>2901.0626865671638</v>
      </c>
      <c r="V9" s="665"/>
      <c r="W9" s="917"/>
    </row>
    <row r="10" spans="1:23" hidden="1">
      <c r="C10" s="961" t="s">
        <v>999</v>
      </c>
      <c r="D10" s="912">
        <v>48455.839999999997</v>
      </c>
      <c r="E10" s="913">
        <v>60323.16</v>
      </c>
      <c r="F10" s="916">
        <f>5058.66</f>
        <v>5058.66</v>
      </c>
      <c r="G10" s="915">
        <f t="shared" si="0"/>
        <v>0.8032709161787942</v>
      </c>
      <c r="H10" s="915">
        <f t="shared" si="1"/>
        <v>8.3859333629073801E-2</v>
      </c>
      <c r="I10" s="961" t="s">
        <v>999</v>
      </c>
      <c r="J10" s="912">
        <v>16058.65</v>
      </c>
      <c r="K10" s="912">
        <v>49699</v>
      </c>
      <c r="L10" s="916">
        <v>1714.73</v>
      </c>
      <c r="M10" s="915">
        <f t="shared" si="2"/>
        <v>0.32311817139177851</v>
      </c>
      <c r="N10" s="915">
        <f t="shared" si="3"/>
        <v>3.4502303869293142E-2</v>
      </c>
      <c r="O10" s="915"/>
      <c r="P10" s="915"/>
      <c r="Q10" s="915">
        <f t="shared" si="7"/>
        <v>6.1563870405743709E-2</v>
      </c>
      <c r="R10" s="962">
        <f t="shared" si="8"/>
        <v>0.58637723527696595</v>
      </c>
      <c r="S10" s="963">
        <f t="shared" si="4"/>
        <v>2.1879747584961414E-2</v>
      </c>
      <c r="T10" s="911">
        <f t="shared" si="5"/>
        <v>64514.49</v>
      </c>
      <c r="U10" s="964">
        <f t="shared" si="6"/>
        <v>2407.2570895522385</v>
      </c>
      <c r="V10" s="665"/>
      <c r="W10" s="917"/>
    </row>
    <row r="11" spans="1:23" hidden="1">
      <c r="C11" s="961" t="s">
        <v>1000</v>
      </c>
      <c r="D11" s="912">
        <v>68289.960000000006</v>
      </c>
      <c r="E11" s="913">
        <v>81572.789999999994</v>
      </c>
      <c r="F11" s="916">
        <f>7106.09</f>
        <v>7106.09</v>
      </c>
      <c r="G11" s="915">
        <f t="shared" si="0"/>
        <v>0.83716592260728129</v>
      </c>
      <c r="H11" s="915">
        <f t="shared" si="1"/>
        <v>8.7113484778441441E-2</v>
      </c>
      <c r="I11" s="961" t="s">
        <v>1000</v>
      </c>
      <c r="J11" s="912">
        <v>32107.38</v>
      </c>
      <c r="K11" s="912">
        <v>75636</v>
      </c>
      <c r="L11" s="916">
        <v>3371.4</v>
      </c>
      <c r="M11" s="915">
        <f t="shared" si="2"/>
        <v>0.42449865143582421</v>
      </c>
      <c r="N11" s="915">
        <f t="shared" si="3"/>
        <v>4.4574012375059494E-2</v>
      </c>
      <c r="O11" s="915"/>
      <c r="P11" s="915"/>
      <c r="Q11" s="915">
        <f t="shared" si="7"/>
        <v>6.6646973111363569E-2</v>
      </c>
      <c r="R11" s="962">
        <f t="shared" si="8"/>
        <v>0.63862421433305372</v>
      </c>
      <c r="S11" s="963">
        <f t="shared" si="4"/>
        <v>2.3829261728845287E-2</v>
      </c>
      <c r="T11" s="911">
        <f t="shared" si="5"/>
        <v>100397.34000000001</v>
      </c>
      <c r="U11" s="964">
        <f t="shared" si="6"/>
        <v>3746.1694029850751</v>
      </c>
      <c r="V11" s="665"/>
      <c r="W11" s="917"/>
    </row>
    <row r="12" spans="1:23" hidden="1">
      <c r="C12" s="961" t="s">
        <v>1001</v>
      </c>
      <c r="D12" s="912">
        <v>41200.660000000003</v>
      </c>
      <c r="E12" s="913">
        <v>55087.06</v>
      </c>
      <c r="F12" s="916">
        <f>4309.73</f>
        <v>4309.7299999999996</v>
      </c>
      <c r="G12" s="915">
        <f t="shared" si="0"/>
        <v>0.74791902127287258</v>
      </c>
      <c r="H12" s="915">
        <f t="shared" si="1"/>
        <v>7.8234888556405077E-2</v>
      </c>
      <c r="I12" s="961" t="s">
        <v>1001</v>
      </c>
      <c r="J12" s="912">
        <v>23438.880000000001</v>
      </c>
      <c r="K12" s="912">
        <v>48148</v>
      </c>
      <c r="L12" s="916">
        <v>2476.5700000000002</v>
      </c>
      <c r="M12" s="915">
        <f t="shared" si="2"/>
        <v>0.48680900556617102</v>
      </c>
      <c r="N12" s="915">
        <f t="shared" si="3"/>
        <v>5.1436612112652658E-2</v>
      </c>
      <c r="O12" s="915"/>
      <c r="P12" s="915"/>
      <c r="Q12" s="915">
        <f t="shared" si="7"/>
        <v>6.5736388393632939E-2</v>
      </c>
      <c r="R12" s="962">
        <f t="shared" si="8"/>
        <v>0.62613941426488262</v>
      </c>
      <c r="S12" s="963">
        <f t="shared" si="4"/>
        <v>2.3363410980032934E-2</v>
      </c>
      <c r="T12" s="911">
        <f t="shared" si="5"/>
        <v>64639.540000000008</v>
      </c>
      <c r="U12" s="964">
        <f t="shared" si="6"/>
        <v>2411.9231343283586</v>
      </c>
      <c r="V12" s="665"/>
      <c r="W12" s="917"/>
    </row>
    <row r="13" spans="1:23" hidden="1">
      <c r="C13" s="961" t="s">
        <v>1002</v>
      </c>
      <c r="D13" s="912">
        <v>52342.47</v>
      </c>
      <c r="E13" s="913">
        <v>86831.33</v>
      </c>
      <c r="F13" s="916">
        <f>5453.28</f>
        <v>5453.28</v>
      </c>
      <c r="G13" s="915">
        <f t="shared" si="0"/>
        <v>0.60280626819835648</v>
      </c>
      <c r="H13" s="915">
        <f t="shared" si="1"/>
        <v>6.2803137991782457E-2</v>
      </c>
      <c r="I13" s="961" t="s">
        <v>1002</v>
      </c>
      <c r="J13" s="912">
        <v>29780.959999999999</v>
      </c>
      <c r="K13" s="912">
        <v>46034</v>
      </c>
      <c r="L13" s="916">
        <v>3127.47</v>
      </c>
      <c r="M13" s="915">
        <f t="shared" si="2"/>
        <v>0.6469340053004301</v>
      </c>
      <c r="N13" s="915">
        <f t="shared" si="3"/>
        <v>6.7938263022983003E-2</v>
      </c>
      <c r="O13" s="915"/>
      <c r="P13" s="915"/>
      <c r="Q13" s="915">
        <f t="shared" si="7"/>
        <v>6.458231052449874E-2</v>
      </c>
      <c r="R13" s="962">
        <f t="shared" si="8"/>
        <v>0.61809525479671767</v>
      </c>
      <c r="S13" s="963">
        <f t="shared" si="4"/>
        <v>2.3063255775996928E-2</v>
      </c>
      <c r="T13" s="911">
        <f t="shared" si="5"/>
        <v>82123.429999999993</v>
      </c>
      <c r="U13" s="964">
        <f t="shared" si="6"/>
        <v>3064.3070895522383</v>
      </c>
      <c r="V13" s="665"/>
      <c r="W13" s="917"/>
    </row>
    <row r="14" spans="1:23" hidden="1">
      <c r="C14" s="961" t="s">
        <v>1003</v>
      </c>
      <c r="D14" s="912">
        <v>63720.480000000003</v>
      </c>
      <c r="E14" s="913">
        <v>95260.63</v>
      </c>
      <c r="F14" s="916">
        <f>6618.39</f>
        <v>6618.39</v>
      </c>
      <c r="G14" s="915">
        <f t="shared" si="0"/>
        <v>0.66890676662541493</v>
      </c>
      <c r="H14" s="915">
        <f t="shared" si="1"/>
        <v>6.9476655781092356E-2</v>
      </c>
      <c r="I14" s="961" t="s">
        <v>1003</v>
      </c>
      <c r="J14" s="912">
        <v>34531.06</v>
      </c>
      <c r="K14" s="912">
        <v>73751</v>
      </c>
      <c r="L14" s="916">
        <v>4175.8599999999997</v>
      </c>
      <c r="M14" s="915">
        <f t="shared" si="2"/>
        <v>0.46821141408252087</v>
      </c>
      <c r="N14" s="915">
        <f t="shared" si="3"/>
        <v>5.6621062765250633E-2</v>
      </c>
      <c r="O14" s="915"/>
      <c r="P14" s="915"/>
      <c r="Q14" s="915">
        <f t="shared" si="7"/>
        <v>6.3866906673818835E-2</v>
      </c>
      <c r="R14" s="962">
        <f t="shared" si="8"/>
        <v>0.58133005403237636</v>
      </c>
      <c r="S14" s="963">
        <f t="shared" si="4"/>
        <v>2.1691419926581208E-2</v>
      </c>
      <c r="T14" s="911">
        <f t="shared" si="5"/>
        <v>98251.540000000008</v>
      </c>
      <c r="U14" s="964">
        <f t="shared" si="6"/>
        <v>3666.1022388059705</v>
      </c>
      <c r="V14" s="665"/>
      <c r="W14" s="917"/>
    </row>
    <row r="15" spans="1:23" hidden="1">
      <c r="C15" s="961" t="s">
        <v>1004</v>
      </c>
      <c r="D15" s="912">
        <v>38451.440000000002</v>
      </c>
      <c r="E15" s="913">
        <v>54075.35</v>
      </c>
      <c r="F15" s="916">
        <f>4016.23</f>
        <v>4016.23</v>
      </c>
      <c r="G15" s="915">
        <f t="shared" si="0"/>
        <v>0.71107149560751814</v>
      </c>
      <c r="H15" s="915">
        <f t="shared" si="1"/>
        <v>7.4270994085105319E-2</v>
      </c>
      <c r="I15" s="961" t="s">
        <v>1004</v>
      </c>
      <c r="J15" s="912">
        <v>40182.36</v>
      </c>
      <c r="K15" s="912">
        <v>73467</v>
      </c>
      <c r="L15" s="916">
        <f>4606</f>
        <v>4606</v>
      </c>
      <c r="M15" s="915">
        <f t="shared" si="2"/>
        <v>0.54694434235779332</v>
      </c>
      <c r="N15" s="915">
        <f t="shared" si="3"/>
        <v>6.2694815359276956E-2</v>
      </c>
      <c r="O15" s="915"/>
      <c r="P15" s="915"/>
      <c r="Q15" s="915">
        <f t="shared" si="7"/>
        <v>6.7602878573273892E-2</v>
      </c>
      <c r="R15" s="962">
        <f t="shared" si="8"/>
        <v>0.61653090130454702</v>
      </c>
      <c r="S15" s="963">
        <f t="shared" si="4"/>
        <v>2.3004884377035337E-2</v>
      </c>
      <c r="T15" s="911">
        <f t="shared" si="5"/>
        <v>78633.8</v>
      </c>
      <c r="U15" s="964">
        <f t="shared" si="6"/>
        <v>2934.0970149253731</v>
      </c>
      <c r="V15" s="665"/>
      <c r="W15" s="917"/>
    </row>
    <row r="16" spans="1:23" hidden="1">
      <c r="C16" s="651" t="s">
        <v>1005</v>
      </c>
      <c r="D16" s="912">
        <v>50857</v>
      </c>
      <c r="E16" s="913">
        <v>54879.02</v>
      </c>
      <c r="F16" s="916">
        <v>5293.73</v>
      </c>
      <c r="G16" s="915">
        <f t="shared" si="0"/>
        <v>0.92671115482747324</v>
      </c>
      <c r="H16" s="915">
        <f t="shared" si="1"/>
        <v>9.6461817284638096E-2</v>
      </c>
      <c r="I16" s="651" t="s">
        <v>1005</v>
      </c>
      <c r="J16" s="912">
        <v>33518.71</v>
      </c>
      <c r="K16" s="912">
        <v>57502</v>
      </c>
      <c r="L16" s="916">
        <v>4606.3900000000003</v>
      </c>
      <c r="M16" s="915">
        <f t="shared" si="2"/>
        <v>0.58291381169350631</v>
      </c>
      <c r="N16" s="915">
        <f t="shared" si="3"/>
        <v>8.0108344057598008E-2</v>
      </c>
      <c r="O16" s="915"/>
      <c r="P16" s="915"/>
      <c r="Q16" s="915">
        <f t="shared" si="7"/>
        <v>8.8094235129739878E-2</v>
      </c>
      <c r="R16" s="962">
        <f t="shared" si="8"/>
        <v>0.75080035756927632</v>
      </c>
      <c r="S16" s="963">
        <f t="shared" si="4"/>
        <v>2.8014938715271505E-2</v>
      </c>
      <c r="T16" s="911">
        <f t="shared" si="5"/>
        <v>84375.709999999992</v>
      </c>
      <c r="U16" s="964">
        <f t="shared" si="6"/>
        <v>3148.3473880597012</v>
      </c>
      <c r="V16" s="665"/>
      <c r="W16" s="917"/>
    </row>
    <row r="17" spans="3:23" hidden="1">
      <c r="C17" s="651"/>
      <c r="D17" s="912"/>
      <c r="E17" s="913"/>
      <c r="F17" s="916"/>
      <c r="G17" s="915"/>
      <c r="H17" s="915"/>
      <c r="I17" s="651"/>
      <c r="J17" s="912"/>
      <c r="K17" s="912"/>
      <c r="L17" s="916"/>
      <c r="M17" s="915"/>
      <c r="N17" s="915"/>
      <c r="O17" s="915"/>
      <c r="P17" s="915"/>
      <c r="Q17" s="915"/>
      <c r="R17" s="962"/>
      <c r="S17" s="963"/>
      <c r="T17" s="911"/>
      <c r="U17" s="964"/>
      <c r="V17" s="665"/>
      <c r="W17" s="917"/>
    </row>
    <row r="18" spans="3:23" hidden="1">
      <c r="C18" s="651" t="s">
        <v>917</v>
      </c>
      <c r="D18" s="912">
        <v>49957</v>
      </c>
      <c r="E18" s="913">
        <v>63139</v>
      </c>
      <c r="F18" s="916">
        <v>5185.42</v>
      </c>
      <c r="G18" s="915">
        <f t="shared" si="0"/>
        <v>0.79122254074343912</v>
      </c>
      <c r="H18" s="915">
        <f t="shared" si="1"/>
        <v>8.21270530100255E-2</v>
      </c>
      <c r="I18" s="651" t="s">
        <v>917</v>
      </c>
      <c r="J18" s="912">
        <v>25872.49</v>
      </c>
      <c r="K18" s="912">
        <v>78688</v>
      </c>
      <c r="L18" s="916">
        <v>4592.55</v>
      </c>
      <c r="M18" s="915">
        <f t="shared" si="2"/>
        <v>0.32879841907279383</v>
      </c>
      <c r="N18" s="915">
        <f t="shared" si="3"/>
        <v>5.8364045343635623E-2</v>
      </c>
      <c r="O18" s="915"/>
      <c r="P18" s="915"/>
      <c r="Q18" s="915">
        <f t="shared" si="7"/>
        <v>6.8942937522474573E-2</v>
      </c>
      <c r="R18" s="962">
        <f t="shared" si="8"/>
        <v>0.53466187679355837</v>
      </c>
      <c r="S18" s="963">
        <f t="shared" si="4"/>
        <v>1.9950070029610387E-2</v>
      </c>
      <c r="T18" s="911">
        <f t="shared" si="5"/>
        <v>75829.490000000005</v>
      </c>
      <c r="U18" s="964">
        <f t="shared" si="6"/>
        <v>2829.4585820895522</v>
      </c>
      <c r="V18" s="665"/>
      <c r="W18" s="917"/>
    </row>
    <row r="19" spans="3:23" hidden="1">
      <c r="C19" s="651" t="s">
        <v>918</v>
      </c>
      <c r="D19" s="912">
        <v>34240</v>
      </c>
      <c r="E19" s="913">
        <v>43693.93</v>
      </c>
      <c r="F19" s="916">
        <v>3645.41</v>
      </c>
      <c r="G19" s="915">
        <f t="shared" si="0"/>
        <v>0.78363287532158354</v>
      </c>
      <c r="H19" s="915">
        <f t="shared" si="1"/>
        <v>8.3430581776461857E-2</v>
      </c>
      <c r="I19" s="651" t="s">
        <v>918</v>
      </c>
      <c r="J19" s="912">
        <v>25872.49</v>
      </c>
      <c r="K19" s="912">
        <v>63727</v>
      </c>
      <c r="L19" s="916">
        <v>4587.03</v>
      </c>
      <c r="M19" s="915">
        <f t="shared" si="2"/>
        <v>0.40598945501906575</v>
      </c>
      <c r="N19" s="915">
        <f t="shared" si="3"/>
        <v>7.1979380796208831E-2</v>
      </c>
      <c r="O19" s="915"/>
      <c r="P19" s="915"/>
      <c r="Q19" s="915">
        <f t="shared" si="7"/>
        <v>7.6637206548109377E-2</v>
      </c>
      <c r="R19" s="962">
        <f t="shared" si="8"/>
        <v>0.55959755701239977</v>
      </c>
      <c r="S19" s="963">
        <f t="shared" si="4"/>
        <v>2.0880505858671634E-2</v>
      </c>
      <c r="T19" s="911">
        <f t="shared" si="5"/>
        <v>60112.490000000005</v>
      </c>
      <c r="U19" s="964">
        <f t="shared" si="6"/>
        <v>2243.0033582089554</v>
      </c>
      <c r="V19" s="665"/>
      <c r="W19" s="917"/>
    </row>
    <row r="20" spans="3:23" hidden="1">
      <c r="C20" s="651" t="s">
        <v>919</v>
      </c>
      <c r="D20" s="912">
        <v>47057</v>
      </c>
      <c r="E20" s="913">
        <v>71703.56</v>
      </c>
      <c r="F20" s="916">
        <v>4871.28</v>
      </c>
      <c r="G20" s="915">
        <f t="shared" si="0"/>
        <v>0.65627145988288449</v>
      </c>
      <c r="H20" s="915">
        <f t="shared" si="1"/>
        <v>6.7936375822901962E-2</v>
      </c>
      <c r="I20" s="651" t="s">
        <v>919</v>
      </c>
      <c r="J20" s="912">
        <v>31038.15</v>
      </c>
      <c r="K20" s="912">
        <v>56384</v>
      </c>
      <c r="L20" s="916">
        <v>4577.1400000000003</v>
      </c>
      <c r="M20" s="915">
        <f t="shared" si="2"/>
        <v>0.55047797247446084</v>
      </c>
      <c r="N20" s="915">
        <f t="shared" si="3"/>
        <v>8.1177993757094211E-2</v>
      </c>
      <c r="O20" s="915"/>
      <c r="P20" s="915"/>
      <c r="Q20" s="915">
        <f t="shared" si="7"/>
        <v>7.3765321159993999E-2</v>
      </c>
      <c r="R20" s="962">
        <f t="shared" si="8"/>
        <v>0.60970128558932657</v>
      </c>
      <c r="S20" s="963">
        <f t="shared" si="4"/>
        <v>2.275004796975099E-2</v>
      </c>
      <c r="T20" s="911">
        <f t="shared" si="5"/>
        <v>78095.149999999994</v>
      </c>
      <c r="U20" s="964">
        <f t="shared" si="6"/>
        <v>2913.998134328358</v>
      </c>
      <c r="V20" s="665"/>
      <c r="W20" s="917"/>
    </row>
    <row r="21" spans="3:23" hidden="1">
      <c r="C21" s="651" t="s">
        <v>920</v>
      </c>
      <c r="D21" s="912">
        <v>52109</v>
      </c>
      <c r="E21" s="913">
        <v>75819</v>
      </c>
      <c r="F21" s="916">
        <v>5386.93</v>
      </c>
      <c r="G21" s="915">
        <f t="shared" si="0"/>
        <v>0.68728155211754305</v>
      </c>
      <c r="H21" s="915">
        <f t="shared" si="1"/>
        <v>7.1049868766404206E-2</v>
      </c>
      <c r="I21" s="651" t="s">
        <v>920</v>
      </c>
      <c r="J21" s="912">
        <v>35070.980000000003</v>
      </c>
      <c r="K21" s="912">
        <v>52652</v>
      </c>
      <c r="L21" s="916">
        <v>4576.04</v>
      </c>
      <c r="M21" s="915">
        <f t="shared" si="2"/>
        <v>0.66609017701131967</v>
      </c>
      <c r="N21" s="915">
        <f t="shared" si="3"/>
        <v>8.6911038517055381E-2</v>
      </c>
      <c r="O21" s="915"/>
      <c r="P21" s="915"/>
      <c r="Q21" s="915">
        <f t="shared" si="7"/>
        <v>7.7550342100551881E-2</v>
      </c>
      <c r="R21" s="962">
        <f t="shared" si="8"/>
        <v>0.67859657043223776</v>
      </c>
      <c r="S21" s="963">
        <f t="shared" si="4"/>
        <v>2.5320767553441707E-2</v>
      </c>
      <c r="T21" s="911">
        <f t="shared" si="5"/>
        <v>87179.98000000001</v>
      </c>
      <c r="U21" s="964">
        <f t="shared" si="6"/>
        <v>3252.984328358209</v>
      </c>
      <c r="V21" s="665"/>
      <c r="W21" s="917"/>
    </row>
    <row r="22" spans="3:23" hidden="1">
      <c r="C22" s="651" t="s">
        <v>921</v>
      </c>
      <c r="D22" s="912">
        <v>36054</v>
      </c>
      <c r="E22" s="913">
        <v>73633.759999999995</v>
      </c>
      <c r="F22" s="916">
        <v>3744.51</v>
      </c>
      <c r="G22" s="915">
        <f t="shared" si="0"/>
        <v>0.48963953490898743</v>
      </c>
      <c r="H22" s="915">
        <f t="shared" si="1"/>
        <v>5.0853168437955641E-2</v>
      </c>
      <c r="I22" s="651" t="s">
        <v>921</v>
      </c>
      <c r="J22" s="912">
        <v>25610.47</v>
      </c>
      <c r="K22" s="912">
        <v>57474</v>
      </c>
      <c r="L22" s="916">
        <v>4576.04</v>
      </c>
      <c r="M22" s="915">
        <f t="shared" si="2"/>
        <v>0.44560096739395205</v>
      </c>
      <c r="N22" s="915">
        <f t="shared" si="3"/>
        <v>7.9619306121028632E-2</v>
      </c>
      <c r="O22" s="915"/>
      <c r="P22" s="915"/>
      <c r="Q22" s="915">
        <f t="shared" si="7"/>
        <v>6.3463444116503856E-2</v>
      </c>
      <c r="R22" s="962">
        <f t="shared" si="8"/>
        <v>0.4703342502381247</v>
      </c>
      <c r="S22" s="963">
        <f t="shared" si="4"/>
        <v>1.7549785456646445E-2</v>
      </c>
      <c r="T22" s="911">
        <f t="shared" si="5"/>
        <v>61664.47</v>
      </c>
      <c r="U22" s="964">
        <f t="shared" si="6"/>
        <v>2300.9130597014923</v>
      </c>
      <c r="V22" s="665"/>
      <c r="W22" s="917"/>
    </row>
    <row r="23" spans="3:23" hidden="1">
      <c r="C23" s="651" t="s">
        <v>922</v>
      </c>
      <c r="D23" s="912">
        <v>49308</v>
      </c>
      <c r="E23" s="913">
        <v>58818.2</v>
      </c>
      <c r="F23" s="916">
        <v>5100.3999999999996</v>
      </c>
      <c r="G23" s="915">
        <f t="shared" si="0"/>
        <v>0.83831195106276635</v>
      </c>
      <c r="H23" s="915">
        <f t="shared" si="1"/>
        <v>8.6714656347865113E-2</v>
      </c>
      <c r="I23" s="651">
        <f t="shared" ref="I23:I29" si="9">D23</f>
        <v>49308</v>
      </c>
      <c r="J23" s="912">
        <v>32196.7</v>
      </c>
      <c r="K23" s="912">
        <v>46425</v>
      </c>
      <c r="L23" s="916">
        <v>4576.04</v>
      </c>
      <c r="M23" s="915">
        <f t="shared" si="2"/>
        <v>0.693520732364028</v>
      </c>
      <c r="N23" s="915">
        <f t="shared" si="3"/>
        <v>9.8568443726440497E-2</v>
      </c>
      <c r="O23" s="915"/>
      <c r="P23" s="915"/>
      <c r="Q23" s="915">
        <f t="shared" si="7"/>
        <v>9.1943612508931682E-2</v>
      </c>
      <c r="R23" s="962">
        <f t="shared" si="8"/>
        <v>0.77444148410538638</v>
      </c>
      <c r="S23" s="963">
        <f t="shared" si="4"/>
        <v>2.8897070302439789E-2</v>
      </c>
      <c r="T23" s="911">
        <f t="shared" si="5"/>
        <v>81504.7</v>
      </c>
      <c r="U23" s="964">
        <f t="shared" si="6"/>
        <v>3041.2201492537311</v>
      </c>
      <c r="V23" s="665"/>
      <c r="W23" s="917"/>
    </row>
    <row r="24" spans="3:23" hidden="1">
      <c r="C24" s="651" t="s">
        <v>923</v>
      </c>
      <c r="D24" s="912">
        <v>36412</v>
      </c>
      <c r="E24" s="913">
        <v>52466.21</v>
      </c>
      <c r="F24" s="916">
        <v>5282.22</v>
      </c>
      <c r="G24" s="915">
        <f t="shared" si="0"/>
        <v>0.6940085819044296</v>
      </c>
      <c r="H24" s="915">
        <f t="shared" si="1"/>
        <v>0.10067851289429902</v>
      </c>
      <c r="I24" s="651">
        <f t="shared" si="9"/>
        <v>36412</v>
      </c>
      <c r="J24" s="912">
        <v>28927.41</v>
      </c>
      <c r="K24" s="912">
        <v>51047</v>
      </c>
      <c r="L24" s="916">
        <v>4251.49</v>
      </c>
      <c r="M24" s="915">
        <f t="shared" si="2"/>
        <v>0.56668188140341258</v>
      </c>
      <c r="N24" s="915">
        <f t="shared" si="3"/>
        <v>8.3285795443414884E-2</v>
      </c>
      <c r="O24" s="915"/>
      <c r="P24" s="915"/>
      <c r="Q24" s="915">
        <f t="shared" si="7"/>
        <v>9.2101384934347996E-2</v>
      </c>
      <c r="R24" s="962">
        <f t="shared" si="8"/>
        <v>0.63121808317991501</v>
      </c>
      <c r="S24" s="963">
        <f t="shared" si="4"/>
        <v>2.3552913551489366E-2</v>
      </c>
      <c r="T24" s="911">
        <f t="shared" si="5"/>
        <v>65339.41</v>
      </c>
      <c r="U24" s="964">
        <f t="shared" si="6"/>
        <v>2438.0376865671642</v>
      </c>
      <c r="V24" s="665"/>
      <c r="W24" s="917"/>
    </row>
    <row r="25" spans="3:23" hidden="1">
      <c r="C25" s="651" t="s">
        <v>924</v>
      </c>
      <c r="D25" s="912">
        <v>39601</v>
      </c>
      <c r="E25" s="913">
        <v>50705.1</v>
      </c>
      <c r="F25" s="916">
        <v>5731.84</v>
      </c>
      <c r="G25" s="915">
        <f t="shared" si="0"/>
        <v>0.78100624986441214</v>
      </c>
      <c r="H25" s="915">
        <f t="shared" si="1"/>
        <v>0.11304267223612616</v>
      </c>
      <c r="I25" s="651">
        <f t="shared" si="9"/>
        <v>39601</v>
      </c>
      <c r="J25" s="912">
        <v>25479.46</v>
      </c>
      <c r="K25" s="912">
        <v>44338</v>
      </c>
      <c r="L25" s="916">
        <v>3765.36</v>
      </c>
      <c r="M25" s="915">
        <f t="shared" si="2"/>
        <v>0.5746641706887996</v>
      </c>
      <c r="N25" s="915">
        <f t="shared" si="3"/>
        <v>8.4923992963146733E-2</v>
      </c>
      <c r="O25" s="915"/>
      <c r="P25" s="915"/>
      <c r="Q25" s="915">
        <f t="shared" si="7"/>
        <v>9.9925191834020571E-2</v>
      </c>
      <c r="R25" s="962">
        <f t="shared" si="8"/>
        <v>0.68474681486609756</v>
      </c>
      <c r="S25" s="963">
        <f t="shared" si="4"/>
        <v>2.5550254286048416E-2</v>
      </c>
      <c r="T25" s="911">
        <f t="shared" si="5"/>
        <v>65080.46</v>
      </c>
      <c r="U25" s="964">
        <f t="shared" si="6"/>
        <v>2428.3753731343281</v>
      </c>
      <c r="V25" s="665"/>
      <c r="W25" s="917"/>
    </row>
    <row r="26" spans="3:23" hidden="1">
      <c r="C26" s="651" t="s">
        <v>925</v>
      </c>
      <c r="D26" s="912">
        <v>45218</v>
      </c>
      <c r="E26" s="913">
        <v>63709.09</v>
      </c>
      <c r="F26" s="916">
        <v>6504.32</v>
      </c>
      <c r="G26" s="915">
        <f t="shared" si="0"/>
        <v>0.70975743021914151</v>
      </c>
      <c r="H26" s="915">
        <f t="shared" si="1"/>
        <v>0.10209406538376235</v>
      </c>
      <c r="I26" s="651">
        <f t="shared" si="9"/>
        <v>45218</v>
      </c>
      <c r="J26" s="912">
        <v>34392.11</v>
      </c>
      <c r="K26" s="912">
        <v>49605</v>
      </c>
      <c r="L26" s="916">
        <v>5006.97</v>
      </c>
      <c r="M26" s="915">
        <f t="shared" si="2"/>
        <v>0.69331942344521724</v>
      </c>
      <c r="N26" s="915">
        <f t="shared" si="3"/>
        <v>0.1009368007257333</v>
      </c>
      <c r="O26" s="915"/>
      <c r="P26" s="915"/>
      <c r="Q26" s="915">
        <f t="shared" si="7"/>
        <v>0.10158745483461061</v>
      </c>
      <c r="R26" s="962">
        <f t="shared" si="8"/>
        <v>0.70256143785825753</v>
      </c>
      <c r="S26" s="963">
        <f t="shared" si="4"/>
        <v>2.6214979024561848E-2</v>
      </c>
      <c r="T26" s="911">
        <f t="shared" si="5"/>
        <v>79610.11</v>
      </c>
      <c r="U26" s="964">
        <f t="shared" si="6"/>
        <v>2970.5264925373135</v>
      </c>
      <c r="V26" s="665"/>
      <c r="W26" s="917"/>
    </row>
    <row r="27" spans="3:23" hidden="1">
      <c r="C27" s="651" t="s">
        <v>926</v>
      </c>
      <c r="D27" s="912">
        <v>37345</v>
      </c>
      <c r="E27" s="913">
        <v>42589.71</v>
      </c>
      <c r="F27" s="916">
        <v>5391.16</v>
      </c>
      <c r="G27" s="915">
        <f t="shared" si="0"/>
        <v>0.87685499619509033</v>
      </c>
      <c r="H27" s="915">
        <f t="shared" si="1"/>
        <v>0.12658362782935126</v>
      </c>
      <c r="I27" s="651">
        <f t="shared" si="9"/>
        <v>37345</v>
      </c>
      <c r="J27" s="912">
        <v>34455.629999999997</v>
      </c>
      <c r="K27" s="912">
        <v>53428</v>
      </c>
      <c r="L27" s="916">
        <v>5009.91</v>
      </c>
      <c r="M27" s="915">
        <f t="shared" si="2"/>
        <v>0.64489836789698285</v>
      </c>
      <c r="N27" s="915">
        <f t="shared" si="3"/>
        <v>9.3769371864939735E-2</v>
      </c>
      <c r="O27" s="915"/>
      <c r="P27" s="915"/>
      <c r="Q27" s="915">
        <f t="shared" si="7"/>
        <v>0.10832449555399729</v>
      </c>
      <c r="R27" s="962">
        <f t="shared" si="8"/>
        <v>0.74778527836166897</v>
      </c>
      <c r="S27" s="963">
        <f t="shared" si="4"/>
        <v>2.7902435759763766E-2</v>
      </c>
      <c r="T27" s="911">
        <f t="shared" si="5"/>
        <v>71800.63</v>
      </c>
      <c r="U27" s="964">
        <f t="shared" si="6"/>
        <v>2679.1279850746268</v>
      </c>
      <c r="V27" s="665"/>
      <c r="W27" s="917"/>
    </row>
    <row r="28" spans="3:23" hidden="1">
      <c r="C28" s="651" t="s">
        <v>927</v>
      </c>
      <c r="D28" s="912">
        <v>37663</v>
      </c>
      <c r="E28" s="913">
        <v>41628.550000000003</v>
      </c>
      <c r="F28" s="916">
        <v>5429.33</v>
      </c>
      <c r="G28" s="915">
        <f t="shared" si="0"/>
        <v>0.90473965583715976</v>
      </c>
      <c r="H28" s="915">
        <f t="shared" si="1"/>
        <v>0.13042323117187601</v>
      </c>
      <c r="I28" s="651">
        <f t="shared" si="9"/>
        <v>37663</v>
      </c>
      <c r="J28" s="912">
        <v>40228.01</v>
      </c>
      <c r="K28" s="912">
        <v>71101</v>
      </c>
      <c r="L28" s="916">
        <v>5813.44</v>
      </c>
      <c r="M28" s="915">
        <f t="shared" si="2"/>
        <v>0.5657868384410909</v>
      </c>
      <c r="N28" s="915">
        <f t="shared" si="3"/>
        <v>8.1763125694434668E-2</v>
      </c>
      <c r="O28" s="915"/>
      <c r="P28" s="915"/>
      <c r="Q28" s="915">
        <f t="shared" si="7"/>
        <v>9.9732235247989548E-2</v>
      </c>
      <c r="R28" s="962">
        <f t="shared" si="8"/>
        <v>0.69095467869782157</v>
      </c>
      <c r="S28" s="963">
        <f t="shared" si="4"/>
        <v>2.578189099618737E-2</v>
      </c>
      <c r="T28" s="911">
        <f t="shared" si="5"/>
        <v>77891.010000000009</v>
      </c>
      <c r="U28" s="964">
        <f t="shared" si="6"/>
        <v>2906.3809701492542</v>
      </c>
      <c r="V28" s="665"/>
      <c r="W28" s="917"/>
    </row>
    <row r="29" spans="3:23" hidden="1">
      <c r="C29" s="651" t="s">
        <v>928</v>
      </c>
      <c r="D29" s="912">
        <v>32838</v>
      </c>
      <c r="E29" s="913">
        <v>43309.15</v>
      </c>
      <c r="F29" s="916">
        <v>4752.7</v>
      </c>
      <c r="G29" s="915">
        <f t="shared" si="0"/>
        <v>0.75822314684079462</v>
      </c>
      <c r="H29" s="915">
        <f t="shared" si="1"/>
        <v>0.10973893507492065</v>
      </c>
      <c r="I29" s="651">
        <f t="shared" si="9"/>
        <v>32838</v>
      </c>
      <c r="J29" s="912">
        <v>43945.919999999998</v>
      </c>
      <c r="K29" s="912">
        <v>79333</v>
      </c>
      <c r="L29" s="916">
        <v>6334.83</v>
      </c>
      <c r="M29" s="915">
        <f t="shared" si="2"/>
        <v>0.55394249555670405</v>
      </c>
      <c r="N29" s="915">
        <f t="shared" si="3"/>
        <v>7.9851133828293397E-2</v>
      </c>
      <c r="O29" s="915"/>
      <c r="P29" s="915"/>
      <c r="Q29" s="915">
        <f t="shared" si="7"/>
        <v>9.0405541651055521E-2</v>
      </c>
      <c r="R29" s="962">
        <f t="shared" si="8"/>
        <v>0.62608100070000405</v>
      </c>
      <c r="S29" s="963">
        <f t="shared" si="4"/>
        <v>2.3361231369403136E-2</v>
      </c>
      <c r="T29" s="911">
        <f t="shared" si="5"/>
        <v>76783.92</v>
      </c>
      <c r="U29" s="964">
        <f t="shared" si="6"/>
        <v>2865.0716417910448</v>
      </c>
      <c r="V29" s="665"/>
      <c r="W29" s="917"/>
    </row>
    <row r="30" spans="3:23" hidden="1">
      <c r="C30" s="651"/>
      <c r="D30" s="912"/>
      <c r="E30" s="913"/>
      <c r="F30" s="916"/>
      <c r="G30" s="915"/>
      <c r="H30" s="915"/>
      <c r="I30" s="651"/>
      <c r="J30" s="912"/>
      <c r="K30" s="912"/>
      <c r="L30" s="916"/>
      <c r="M30" s="915"/>
      <c r="N30" s="915"/>
      <c r="O30" s="915"/>
      <c r="P30" s="915"/>
      <c r="Q30" s="915"/>
      <c r="R30" s="962"/>
      <c r="S30" s="963"/>
      <c r="T30" s="911"/>
      <c r="U30" s="964"/>
      <c r="V30" s="665"/>
      <c r="W30" s="917"/>
    </row>
    <row r="31" spans="3:23" hidden="1">
      <c r="C31" s="651" t="s">
        <v>1006</v>
      </c>
      <c r="D31" s="912">
        <v>28554</v>
      </c>
      <c r="E31" s="913">
        <v>39773.14</v>
      </c>
      <c r="F31" s="916">
        <f>D31*11.77/83</f>
        <v>4049.1636144578315</v>
      </c>
      <c r="G31" s="915">
        <f t="shared" si="0"/>
        <v>0.71792169288117558</v>
      </c>
      <c r="H31" s="915">
        <f>F31/E31</f>
        <v>0.10180648584592093</v>
      </c>
      <c r="I31" s="651" t="str">
        <f>C31</f>
        <v>Jan'20</v>
      </c>
      <c r="J31" s="965">
        <v>54210.35</v>
      </c>
      <c r="K31" s="912">
        <v>84697</v>
      </c>
      <c r="L31" s="916">
        <f>J31*11.77/83</f>
        <v>7687.4195120481927</v>
      </c>
      <c r="M31" s="915">
        <f t="shared" si="2"/>
        <v>0.640050415008796</v>
      </c>
      <c r="N31" s="915">
        <f>L31/K31</f>
        <v>9.0763775718717229E-2</v>
      </c>
      <c r="O31" s="912">
        <f t="shared" ref="O31:P55" si="10">D31+J31</f>
        <v>82764.350000000006</v>
      </c>
      <c r="P31" s="912">
        <f t="shared" si="10"/>
        <v>124470.14</v>
      </c>
      <c r="Q31" s="915">
        <f t="shared" si="7"/>
        <v>9.4292359006794918E-2</v>
      </c>
      <c r="R31" s="962">
        <f t="shared" si="8"/>
        <v>0.66493337277518938</v>
      </c>
      <c r="S31" s="963">
        <f t="shared" si="4"/>
        <v>2.4810946745342885E-2</v>
      </c>
      <c r="T31" s="911">
        <f t="shared" si="5"/>
        <v>82764.350000000006</v>
      </c>
      <c r="U31" s="964">
        <f t="shared" si="6"/>
        <v>3088.2220149253731</v>
      </c>
      <c r="V31" s="665"/>
      <c r="W31" s="917"/>
    </row>
    <row r="32" spans="3:23" hidden="1">
      <c r="C32" s="651" t="s">
        <v>930</v>
      </c>
      <c r="D32" s="912">
        <v>30081</v>
      </c>
      <c r="E32" s="913">
        <v>43540.84</v>
      </c>
      <c r="F32" s="916">
        <f t="shared" ref="F32:F33" si="11">D32*11.77/83</f>
        <v>4265.7032530120478</v>
      </c>
      <c r="G32" s="915">
        <f t="shared" si="0"/>
        <v>0.69086861897933072</v>
      </c>
      <c r="H32" s="915">
        <f t="shared" ref="H32:H80" si="12">F32/E32</f>
        <v>9.7970164402249663E-2</v>
      </c>
      <c r="I32" s="651" t="str">
        <f>C32</f>
        <v>Feb'20</v>
      </c>
      <c r="J32" s="965">
        <v>47516.930000000008</v>
      </c>
      <c r="K32" s="912">
        <v>77234.78</v>
      </c>
      <c r="L32" s="916">
        <f t="shared" ref="L32:L33" si="13">J32*11.77/83</f>
        <v>6738.2441698795192</v>
      </c>
      <c r="M32" s="915">
        <f t="shared" si="2"/>
        <v>0.61522710364423916</v>
      </c>
      <c r="N32" s="915">
        <f t="shared" ref="N32:N66" si="14">L32/K32</f>
        <v>8.7243650721598731E-2</v>
      </c>
      <c r="O32" s="912">
        <f t="shared" si="10"/>
        <v>77597.930000000008</v>
      </c>
      <c r="P32" s="912">
        <f t="shared" si="10"/>
        <v>120775.62</v>
      </c>
      <c r="Q32" s="915">
        <f t="shared" si="7"/>
        <v>9.1110668054459734E-2</v>
      </c>
      <c r="R32" s="962">
        <f t="shared" si="8"/>
        <v>0.64249663963637704</v>
      </c>
      <c r="S32" s="963">
        <f t="shared" si="4"/>
        <v>2.3973755210312576E-2</v>
      </c>
      <c r="T32" s="911">
        <f t="shared" si="5"/>
        <v>77597.930000000008</v>
      </c>
      <c r="U32" s="964">
        <f t="shared" si="6"/>
        <v>2895.4451492537314</v>
      </c>
      <c r="V32" s="665"/>
      <c r="W32" s="917"/>
    </row>
    <row r="33" spans="3:23" hidden="1">
      <c r="C33" s="651" t="s">
        <v>931</v>
      </c>
      <c r="D33" s="912">
        <v>29545</v>
      </c>
      <c r="E33" s="913">
        <v>45094.81</v>
      </c>
      <c r="F33" s="916">
        <f t="shared" si="11"/>
        <v>4189.6945783132524</v>
      </c>
      <c r="G33" s="915">
        <f t="shared" si="0"/>
        <v>0.65517517426062999</v>
      </c>
      <c r="H33" s="915">
        <f t="shared" si="12"/>
        <v>9.2908575916236316E-2</v>
      </c>
      <c r="I33" s="651" t="str">
        <f>C33</f>
        <v>Mar'20</v>
      </c>
      <c r="J33" s="965">
        <v>42322.185000000012</v>
      </c>
      <c r="K33" s="912">
        <v>71214.539999999994</v>
      </c>
      <c r="L33" s="916">
        <f t="shared" si="13"/>
        <v>6001.5917765060258</v>
      </c>
      <c r="M33" s="915">
        <f t="shared" si="2"/>
        <v>0.59429134836790376</v>
      </c>
      <c r="N33" s="915">
        <f t="shared" si="14"/>
        <v>8.4274809280605142E-2</v>
      </c>
      <c r="O33" s="912">
        <f t="shared" si="10"/>
        <v>71867.185000000012</v>
      </c>
      <c r="P33" s="912">
        <f t="shared" si="10"/>
        <v>116309.34999999999</v>
      </c>
      <c r="Q33" s="915">
        <f t="shared" si="7"/>
        <v>8.7622244942640287E-2</v>
      </c>
      <c r="R33" s="962">
        <f t="shared" si="8"/>
        <v>0.61789688447231472</v>
      </c>
      <c r="S33" s="963">
        <f t="shared" si="4"/>
        <v>2.3055853898220697E-2</v>
      </c>
      <c r="T33" s="911">
        <f t="shared" si="5"/>
        <v>71867.185000000012</v>
      </c>
      <c r="U33" s="964">
        <f t="shared" si="6"/>
        <v>2681.6113805970153</v>
      </c>
      <c r="V33" s="665"/>
      <c r="W33" s="917"/>
    </row>
    <row r="34" spans="3:23" hidden="1">
      <c r="C34" s="651" t="s">
        <v>932</v>
      </c>
      <c r="D34" s="912">
        <v>9996</v>
      </c>
      <c r="E34" s="913">
        <v>19390.11</v>
      </c>
      <c r="F34" s="916">
        <v>1549.43</v>
      </c>
      <c r="G34" s="915">
        <f t="shared" si="0"/>
        <v>0.51552054114185009</v>
      </c>
      <c r="H34" s="915">
        <f t="shared" si="12"/>
        <v>7.9908262511146147E-2</v>
      </c>
      <c r="I34" s="651" t="s">
        <v>932</v>
      </c>
      <c r="J34" s="965">
        <v>16636.28</v>
      </c>
      <c r="K34" s="912">
        <v>27667.87</v>
      </c>
      <c r="L34" s="916">
        <v>2505.04</v>
      </c>
      <c r="M34" s="915">
        <f t="shared" si="2"/>
        <v>0.60128517301837836</v>
      </c>
      <c r="N34" s="915">
        <f t="shared" si="14"/>
        <v>9.053967652732213E-2</v>
      </c>
      <c r="O34" s="912">
        <f t="shared" si="10"/>
        <v>26632.28</v>
      </c>
      <c r="P34" s="912">
        <f t="shared" si="10"/>
        <v>47057.979999999996</v>
      </c>
      <c r="Q34" s="915">
        <f t="shared" si="7"/>
        <v>8.6159031900646832E-2</v>
      </c>
      <c r="R34" s="962">
        <f t="shared" si="8"/>
        <v>0.56594609458374545</v>
      </c>
      <c r="S34" s="963">
        <f t="shared" si="4"/>
        <v>2.1117391588945725E-2</v>
      </c>
      <c r="T34" s="911">
        <f t="shared" si="5"/>
        <v>26632.28</v>
      </c>
      <c r="U34" s="964">
        <f t="shared" si="6"/>
        <v>993.74179104477605</v>
      </c>
      <c r="V34" s="665"/>
      <c r="W34" s="917"/>
    </row>
    <row r="35" spans="3:23" hidden="1">
      <c r="C35" s="651" t="s">
        <v>933</v>
      </c>
      <c r="D35" s="912">
        <v>27940</v>
      </c>
      <c r="E35" s="913">
        <v>44627.97</v>
      </c>
      <c r="F35" s="916">
        <v>4065.83</v>
      </c>
      <c r="G35" s="915">
        <f t="shared" si="0"/>
        <v>0.626064775072673</v>
      </c>
      <c r="H35" s="915">
        <f t="shared" si="12"/>
        <v>9.1104972957542094E-2</v>
      </c>
      <c r="I35" s="651" t="s">
        <v>933</v>
      </c>
      <c r="J35" s="965">
        <v>44678.38</v>
      </c>
      <c r="K35" s="912">
        <v>78658.09</v>
      </c>
      <c r="L35" s="916">
        <v>6437.56</v>
      </c>
      <c r="M35" s="915">
        <f t="shared" si="2"/>
        <v>0.56800743572593737</v>
      </c>
      <c r="N35" s="915">
        <f t="shared" si="14"/>
        <v>8.1842312723332089E-2</v>
      </c>
      <c r="O35" s="912">
        <f t="shared" si="10"/>
        <v>72618.38</v>
      </c>
      <c r="P35" s="912">
        <f t="shared" si="10"/>
        <v>123286.06</v>
      </c>
      <c r="Q35" s="915">
        <f t="shared" si="7"/>
        <v>8.5195276740938922E-2</v>
      </c>
      <c r="R35" s="962">
        <f t="shared" si="8"/>
        <v>0.58902344677086771</v>
      </c>
      <c r="S35" s="963">
        <f t="shared" si="4"/>
        <v>2.1978486819808497E-2</v>
      </c>
      <c r="T35" s="911">
        <f t="shared" si="5"/>
        <v>72618.38</v>
      </c>
      <c r="U35" s="964">
        <f t="shared" si="6"/>
        <v>2709.6410447761195</v>
      </c>
      <c r="V35" s="665"/>
      <c r="W35" s="917"/>
    </row>
    <row r="36" spans="3:23" hidden="1">
      <c r="C36" s="651" t="s">
        <v>934</v>
      </c>
      <c r="D36" s="912">
        <v>34297</v>
      </c>
      <c r="E36" s="912">
        <v>40971.08</v>
      </c>
      <c r="F36" s="916">
        <v>4957.3100000000004</v>
      </c>
      <c r="G36" s="915">
        <f t="shared" si="0"/>
        <v>0.83710265875344259</v>
      </c>
      <c r="H36" s="915">
        <f t="shared" si="12"/>
        <v>0.12099534598550979</v>
      </c>
      <c r="I36" s="651" t="s">
        <v>934</v>
      </c>
      <c r="J36" s="965">
        <v>70143.94</v>
      </c>
      <c r="K36" s="912">
        <v>124698</v>
      </c>
      <c r="L36" s="916">
        <v>10008.75</v>
      </c>
      <c r="M36" s="915">
        <f t="shared" si="2"/>
        <v>0.5625105454778746</v>
      </c>
      <c r="N36" s="915">
        <f t="shared" si="14"/>
        <v>8.0263917624981959E-2</v>
      </c>
      <c r="O36" s="912">
        <f t="shared" si="10"/>
        <v>104440.94</v>
      </c>
      <c r="P36" s="912">
        <f t="shared" si="10"/>
        <v>165669.08000000002</v>
      </c>
      <c r="Q36" s="915">
        <f t="shared" si="7"/>
        <v>9.0337074365355319E-2</v>
      </c>
      <c r="R36" s="962">
        <f t="shared" si="8"/>
        <v>0.63041902568662778</v>
      </c>
      <c r="S36" s="963">
        <f t="shared" si="4"/>
        <v>2.3523097973381632E-2</v>
      </c>
      <c r="T36" s="911">
        <f t="shared" si="5"/>
        <v>104440.94</v>
      </c>
      <c r="U36" s="964">
        <f t="shared" si="6"/>
        <v>3897.05</v>
      </c>
      <c r="V36" s="665"/>
      <c r="W36" s="917"/>
    </row>
    <row r="37" spans="3:23" hidden="1">
      <c r="C37" s="651" t="s">
        <v>935</v>
      </c>
      <c r="D37" s="651">
        <v>27075</v>
      </c>
      <c r="E37" s="912">
        <v>44173.9</v>
      </c>
      <c r="F37" s="916">
        <v>3944.53</v>
      </c>
      <c r="G37" s="915">
        <f t="shared" si="0"/>
        <v>0.61291848806648264</v>
      </c>
      <c r="H37" s="915">
        <f t="shared" si="12"/>
        <v>8.9295488965203437E-2</v>
      </c>
      <c r="I37" s="651" t="s">
        <v>935</v>
      </c>
      <c r="J37" s="965">
        <v>58678.59</v>
      </c>
      <c r="K37" s="912">
        <v>85786</v>
      </c>
      <c r="L37" s="916">
        <v>8400.8799999999992</v>
      </c>
      <c r="M37" s="915">
        <f t="shared" si="2"/>
        <v>0.68401126057864914</v>
      </c>
      <c r="N37" s="915">
        <f t="shared" si="14"/>
        <v>9.7928333294476949E-2</v>
      </c>
      <c r="O37" s="912">
        <f t="shared" si="10"/>
        <v>85753.59</v>
      </c>
      <c r="P37" s="912">
        <f t="shared" si="10"/>
        <v>129959.9</v>
      </c>
      <c r="Q37" s="915">
        <f t="shared" si="7"/>
        <v>9.4993994301319107E-2</v>
      </c>
      <c r="R37" s="962">
        <f t="shared" si="8"/>
        <v>0.65984653727803733</v>
      </c>
      <c r="S37" s="963">
        <f t="shared" si="4"/>
        <v>2.4621139450673034E-2</v>
      </c>
      <c r="T37" s="911">
        <f t="shared" si="5"/>
        <v>85753.59</v>
      </c>
      <c r="U37" s="964">
        <f t="shared" si="6"/>
        <v>3199.7608208955221</v>
      </c>
      <c r="V37" s="665"/>
      <c r="W37" s="917"/>
    </row>
    <row r="38" spans="3:23" hidden="1">
      <c r="C38" s="651" t="s">
        <v>936</v>
      </c>
      <c r="D38" s="651">
        <v>25944</v>
      </c>
      <c r="E38" s="912">
        <v>38292</v>
      </c>
      <c r="F38" s="916">
        <v>3785.92</v>
      </c>
      <c r="G38" s="915">
        <f t="shared" si="0"/>
        <v>0.67753055468505174</v>
      </c>
      <c r="H38" s="915">
        <f t="shared" si="12"/>
        <v>9.8869737804241103E-2</v>
      </c>
      <c r="I38" s="651" t="s">
        <v>936</v>
      </c>
      <c r="J38" s="965">
        <v>50875.55</v>
      </c>
      <c r="K38" s="912">
        <v>67075</v>
      </c>
      <c r="L38" s="916">
        <v>7306.64</v>
      </c>
      <c r="M38" s="915">
        <f t="shared" si="2"/>
        <v>0.75848751397689163</v>
      </c>
      <c r="N38" s="915">
        <f t="shared" si="14"/>
        <v>0.10893238911666046</v>
      </c>
      <c r="O38" s="912">
        <f t="shared" si="10"/>
        <v>76819.55</v>
      </c>
      <c r="P38" s="912">
        <f t="shared" si="10"/>
        <v>105367</v>
      </c>
      <c r="Q38" s="915">
        <f t="shared" si="7"/>
        <v>0.10527546575303465</v>
      </c>
      <c r="R38" s="962">
        <f t="shared" si="8"/>
        <v>0.72906650089686531</v>
      </c>
      <c r="S38" s="963">
        <f t="shared" si="4"/>
        <v>2.7203973914062138E-2</v>
      </c>
      <c r="T38" s="911">
        <f t="shared" si="5"/>
        <v>76819.55</v>
      </c>
      <c r="U38" s="964">
        <f t="shared" si="6"/>
        <v>2866.4011194029849</v>
      </c>
      <c r="V38" s="665"/>
      <c r="W38" s="917"/>
    </row>
    <row r="39" spans="3:23" hidden="1">
      <c r="C39" s="651" t="s">
        <v>937</v>
      </c>
      <c r="D39" s="651">
        <v>28393</v>
      </c>
      <c r="E39" s="912">
        <v>35691</v>
      </c>
      <c r="F39" s="916">
        <v>4129.3599999999997</v>
      </c>
      <c r="G39" s="915">
        <f t="shared" si="0"/>
        <v>0.79552268078787369</v>
      </c>
      <c r="H39" s="915">
        <f t="shared" si="12"/>
        <v>0.11569751477963632</v>
      </c>
      <c r="I39" s="651" t="s">
        <v>937</v>
      </c>
      <c r="J39" s="965">
        <v>76674.600000000006</v>
      </c>
      <c r="K39" s="912">
        <v>98741</v>
      </c>
      <c r="L39" s="916">
        <v>10924.57</v>
      </c>
      <c r="M39" s="915">
        <f t="shared" si="2"/>
        <v>0.77652241723296311</v>
      </c>
      <c r="N39" s="915">
        <f t="shared" si="14"/>
        <v>0.11063864048368965</v>
      </c>
      <c r="O39" s="912">
        <f t="shared" si="10"/>
        <v>105067.6</v>
      </c>
      <c r="P39" s="912">
        <f t="shared" si="10"/>
        <v>134432</v>
      </c>
      <c r="Q39" s="915">
        <f t="shared" si="7"/>
        <v>0.11198174541775768</v>
      </c>
      <c r="R39" s="962">
        <f t="shared" si="8"/>
        <v>0.78156688883599146</v>
      </c>
      <c r="S39" s="963">
        <f t="shared" si="4"/>
        <v>2.9162943613283261E-2</v>
      </c>
      <c r="T39" s="911">
        <f t="shared" si="5"/>
        <v>105067.6</v>
      </c>
      <c r="U39" s="964">
        <f t="shared" si="6"/>
        <v>3920.4328358208954</v>
      </c>
      <c r="V39" s="665"/>
      <c r="W39" s="917"/>
    </row>
    <row r="40" spans="3:23" hidden="1">
      <c r="C40" s="651" t="s">
        <v>938</v>
      </c>
      <c r="D40" s="651">
        <v>26113</v>
      </c>
      <c r="E40" s="912">
        <v>33784</v>
      </c>
      <c r="F40" s="916">
        <v>3809.62</v>
      </c>
      <c r="G40" s="915">
        <f t="shared" si="0"/>
        <v>0.77293985318493963</v>
      </c>
      <c r="H40" s="915">
        <f t="shared" si="12"/>
        <v>0.11276403031020601</v>
      </c>
      <c r="I40" s="651" t="s">
        <v>938</v>
      </c>
      <c r="J40" s="965">
        <v>83119.89</v>
      </c>
      <c r="K40" s="912">
        <v>120516</v>
      </c>
      <c r="L40" s="916">
        <v>11828.43</v>
      </c>
      <c r="M40" s="915">
        <f t="shared" si="2"/>
        <v>0.6897000398287364</v>
      </c>
      <c r="N40" s="915">
        <f t="shared" si="14"/>
        <v>9.8148212685452554E-2</v>
      </c>
      <c r="O40" s="912">
        <f t="shared" si="10"/>
        <v>109232.89</v>
      </c>
      <c r="P40" s="912">
        <f t="shared" si="10"/>
        <v>154300</v>
      </c>
      <c r="Q40" s="915">
        <f t="shared" si="7"/>
        <v>0.10134834737524302</v>
      </c>
      <c r="R40" s="962">
        <f t="shared" si="8"/>
        <v>0.7079254050550875</v>
      </c>
      <c r="S40" s="963">
        <f t="shared" si="4"/>
        <v>2.6415127054294309E-2</v>
      </c>
      <c r="T40" s="911">
        <f t="shared" si="5"/>
        <v>109232.89</v>
      </c>
      <c r="U40" s="964">
        <f t="shared" si="6"/>
        <v>4075.8541044776116</v>
      </c>
      <c r="V40" s="665"/>
      <c r="W40" s="917"/>
    </row>
    <row r="41" spans="3:23" hidden="1">
      <c r="C41" s="651" t="s">
        <v>939</v>
      </c>
      <c r="D41" s="651">
        <v>18224</v>
      </c>
      <c r="E41" s="912">
        <v>22379.18</v>
      </c>
      <c r="F41" s="966">
        <v>2703.29</v>
      </c>
      <c r="G41" s="915">
        <f t="shared" si="0"/>
        <v>0.81432831765953895</v>
      </c>
      <c r="H41" s="915">
        <f t="shared" si="12"/>
        <v>0.1207948637975118</v>
      </c>
      <c r="I41" s="651" t="s">
        <v>939</v>
      </c>
      <c r="J41" s="965">
        <v>82667.31</v>
      </c>
      <c r="K41" s="912">
        <v>103868</v>
      </c>
      <c r="L41" s="916">
        <v>11764.96</v>
      </c>
      <c r="M41" s="915">
        <f t="shared" si="2"/>
        <v>0.79588814649362649</v>
      </c>
      <c r="N41" s="915">
        <f t="shared" si="14"/>
        <v>0.11326837909654561</v>
      </c>
      <c r="O41" s="912">
        <f t="shared" si="10"/>
        <v>100891.31</v>
      </c>
      <c r="P41" s="912">
        <f t="shared" si="10"/>
        <v>126247.18</v>
      </c>
      <c r="Q41" s="915">
        <f t="shared" si="7"/>
        <v>0.11460255983539594</v>
      </c>
      <c r="R41" s="962">
        <f t="shared" si="8"/>
        <v>0.7991569395847099</v>
      </c>
      <c r="S41" s="963">
        <f t="shared" si="4"/>
        <v>2.9819288790474248E-2</v>
      </c>
      <c r="T41" s="911">
        <f t="shared" si="5"/>
        <v>100891.31</v>
      </c>
      <c r="U41" s="964">
        <f t="shared" si="6"/>
        <v>3764.6011194029848</v>
      </c>
      <c r="V41" s="665"/>
      <c r="W41" s="917"/>
    </row>
    <row r="42" spans="3:23" hidden="1">
      <c r="C42" s="918" t="s">
        <v>940</v>
      </c>
      <c r="D42" s="918">
        <v>31083</v>
      </c>
      <c r="E42" s="919">
        <v>48900</v>
      </c>
      <c r="F42" s="967">
        <v>4506.59</v>
      </c>
      <c r="G42" s="921">
        <f t="shared" si="0"/>
        <v>0.63564417177914112</v>
      </c>
      <c r="H42" s="921">
        <f t="shared" si="12"/>
        <v>9.2159304703476483E-2</v>
      </c>
      <c r="I42" s="918" t="s">
        <v>940</v>
      </c>
      <c r="J42" s="968">
        <v>83743.179999999993</v>
      </c>
      <c r="K42" s="919">
        <v>127923</v>
      </c>
      <c r="L42" s="920">
        <v>11915.85</v>
      </c>
      <c r="M42" s="921">
        <f t="shared" si="2"/>
        <v>0.65463739906037222</v>
      </c>
      <c r="N42" s="921">
        <f t="shared" si="14"/>
        <v>9.3148612837410008E-2</v>
      </c>
      <c r="O42" s="919">
        <f t="shared" si="10"/>
        <v>114826.18</v>
      </c>
      <c r="P42" s="919">
        <f t="shared" si="10"/>
        <v>176823</v>
      </c>
      <c r="Q42" s="921">
        <f t="shared" si="7"/>
        <v>9.287502191456995E-2</v>
      </c>
      <c r="R42" s="969">
        <f t="shared" si="8"/>
        <v>0.64938486509107973</v>
      </c>
      <c r="S42" s="963">
        <f t="shared" si="4"/>
        <v>2.4230778548174615E-2</v>
      </c>
      <c r="T42" s="911">
        <f t="shared" si="5"/>
        <v>114826.18</v>
      </c>
      <c r="U42" s="964">
        <f t="shared" si="6"/>
        <v>4284.5589552238798</v>
      </c>
      <c r="V42" s="665"/>
      <c r="W42" s="917"/>
    </row>
    <row r="43" spans="3:23" hidden="1">
      <c r="C43" s="707"/>
      <c r="D43" s="970"/>
      <c r="E43" s="971"/>
      <c r="F43" s="972"/>
      <c r="G43" s="973"/>
      <c r="H43" s="973"/>
      <c r="I43" s="970"/>
      <c r="J43" s="974"/>
      <c r="K43" s="971"/>
      <c r="L43" s="975"/>
      <c r="M43" s="973"/>
      <c r="N43" s="973"/>
      <c r="O43" s="971"/>
      <c r="P43" s="971"/>
      <c r="Q43" s="976"/>
      <c r="R43" s="977">
        <f>AVERAGE(R31:R42)</f>
        <v>0.66980521672224114</v>
      </c>
      <c r="S43" s="978">
        <f t="shared" si="4"/>
        <v>2.4992731967247803E-2</v>
      </c>
      <c r="T43" s="911"/>
      <c r="U43" s="964"/>
      <c r="V43" s="665"/>
      <c r="W43" s="917"/>
    </row>
    <row r="44" spans="3:23" hidden="1">
      <c r="C44" s="499" t="s">
        <v>941</v>
      </c>
      <c r="D44" s="499">
        <v>31351</v>
      </c>
      <c r="E44" s="907">
        <v>47650.59</v>
      </c>
      <c r="F44" s="979">
        <v>4544.18</v>
      </c>
      <c r="G44" s="910">
        <f t="shared" si="0"/>
        <v>0.65793519030929104</v>
      </c>
      <c r="H44" s="910">
        <f t="shared" si="12"/>
        <v>9.5364611435031568E-2</v>
      </c>
      <c r="I44" s="499" t="s">
        <v>941</v>
      </c>
      <c r="J44" s="980">
        <v>84038.94</v>
      </c>
      <c r="K44" s="907">
        <v>111360.84</v>
      </c>
      <c r="L44" s="926">
        <v>11957.32</v>
      </c>
      <c r="M44" s="910">
        <f t="shared" si="2"/>
        <v>0.75465432911605201</v>
      </c>
      <c r="N44" s="910">
        <f t="shared" si="14"/>
        <v>0.10737454925806954</v>
      </c>
      <c r="O44" s="907">
        <f t="shared" si="10"/>
        <v>115389.94</v>
      </c>
      <c r="P44" s="907">
        <f t="shared" si="10"/>
        <v>159011.43</v>
      </c>
      <c r="Q44" s="910">
        <f t="shared" si="7"/>
        <v>0.10377555877586914</v>
      </c>
      <c r="R44" s="962">
        <f t="shared" si="8"/>
        <v>0.72567072694082435</v>
      </c>
      <c r="S44" s="963">
        <f>R44/26.8</f>
        <v>2.7077265930627772E-2</v>
      </c>
      <c r="T44" s="911">
        <f t="shared" si="5"/>
        <v>115389.94</v>
      </c>
      <c r="U44" s="964">
        <f t="shared" si="6"/>
        <v>4305.5947761194029</v>
      </c>
      <c r="V44" s="922"/>
      <c r="W44" s="981"/>
    </row>
    <row r="45" spans="3:23" hidden="1">
      <c r="C45" s="651" t="s">
        <v>942</v>
      </c>
      <c r="D45" s="651">
        <v>31806</v>
      </c>
      <c r="E45" s="912">
        <v>39540</v>
      </c>
      <c r="F45" s="966">
        <v>4607.97</v>
      </c>
      <c r="G45" s="915">
        <f t="shared" si="0"/>
        <v>0.80440060698027316</v>
      </c>
      <c r="H45" s="915">
        <f t="shared" si="12"/>
        <v>0.11653945371775418</v>
      </c>
      <c r="I45" s="651" t="s">
        <v>942</v>
      </c>
      <c r="J45" s="965">
        <v>89701.09</v>
      </c>
      <c r="K45" s="912">
        <v>139195</v>
      </c>
      <c r="L45" s="916">
        <v>12752.6</v>
      </c>
      <c r="M45" s="915">
        <f t="shared" si="2"/>
        <v>0.64442752972448725</v>
      </c>
      <c r="N45" s="915">
        <f t="shared" si="14"/>
        <v>9.1616796580336946E-2</v>
      </c>
      <c r="O45" s="912">
        <f t="shared" si="10"/>
        <v>121507.09</v>
      </c>
      <c r="P45" s="912">
        <f t="shared" si="10"/>
        <v>178735</v>
      </c>
      <c r="Q45" s="915">
        <f>((F45+L45)/(E45+K45))</f>
        <v>9.7130220717822471E-2</v>
      </c>
      <c r="R45" s="962">
        <f>((D45+J45)/(E45+K45))</f>
        <v>0.67981699163566167</v>
      </c>
      <c r="S45" s="963">
        <f>R45/26.8</f>
        <v>2.5366305658047077E-2</v>
      </c>
      <c r="T45" s="911">
        <f t="shared" si="5"/>
        <v>121507.09</v>
      </c>
      <c r="U45" s="964">
        <f t="shared" si="6"/>
        <v>4533.8466417910449</v>
      </c>
      <c r="V45" s="665"/>
      <c r="W45" s="917"/>
    </row>
    <row r="46" spans="3:23" hidden="1">
      <c r="C46" s="651" t="s">
        <v>943</v>
      </c>
      <c r="D46" s="651">
        <v>20193</v>
      </c>
      <c r="E46" s="912">
        <v>29734.55</v>
      </c>
      <c r="F46" s="966">
        <v>2979.41</v>
      </c>
      <c r="G46" s="915">
        <f t="shared" si="0"/>
        <v>0.67910898264813158</v>
      </c>
      <c r="H46" s="915">
        <f t="shared" si="12"/>
        <v>0.10020027207406872</v>
      </c>
      <c r="I46" s="651" t="s">
        <v>943</v>
      </c>
      <c r="J46" s="965">
        <v>104522.16</v>
      </c>
      <c r="K46" s="912">
        <v>150479</v>
      </c>
      <c r="L46" s="916">
        <v>14829.79</v>
      </c>
      <c r="M46" s="915">
        <f t="shared" si="2"/>
        <v>0.69459632241043601</v>
      </c>
      <c r="N46" s="915">
        <f t="shared" si="14"/>
        <v>9.8550561872420742E-2</v>
      </c>
      <c r="O46" s="912">
        <f t="shared" si="10"/>
        <v>124715.16</v>
      </c>
      <c r="P46" s="912">
        <f t="shared" si="10"/>
        <v>180213.55</v>
      </c>
      <c r="Q46" s="915">
        <f t="shared" si="7"/>
        <v>9.8822757778202597E-2</v>
      </c>
      <c r="R46" s="962">
        <f t="shared" si="8"/>
        <v>0.69204097028220135</v>
      </c>
      <c r="S46" s="963">
        <f t="shared" ref="S46:S80" si="15">R46/26.8</f>
        <v>2.5822424264261245E-2</v>
      </c>
      <c r="T46" s="911">
        <f t="shared" si="5"/>
        <v>124715.16</v>
      </c>
      <c r="U46" s="964">
        <f t="shared" si="6"/>
        <v>4653.5507462686564</v>
      </c>
      <c r="V46" s="665"/>
      <c r="W46" s="917"/>
    </row>
    <row r="47" spans="3:23" hidden="1">
      <c r="C47" s="651" t="s">
        <v>944</v>
      </c>
      <c r="D47" s="651">
        <v>36590</v>
      </c>
      <c r="E47" s="912">
        <v>66778</v>
      </c>
      <c r="F47" s="966">
        <v>5278.88</v>
      </c>
      <c r="G47" s="915">
        <f t="shared" si="0"/>
        <v>0.5479349486357783</v>
      </c>
      <c r="H47" s="915">
        <f t="shared" si="12"/>
        <v>7.9051184521848519E-2</v>
      </c>
      <c r="I47" s="651" t="s">
        <v>944</v>
      </c>
      <c r="J47" s="965">
        <v>91857.86</v>
      </c>
      <c r="K47" s="912">
        <v>154314</v>
      </c>
      <c r="L47" s="916">
        <v>13053.81</v>
      </c>
      <c r="M47" s="915">
        <f t="shared" si="2"/>
        <v>0.59526588643933798</v>
      </c>
      <c r="N47" s="915">
        <f t="shared" si="14"/>
        <v>8.4592519149267076E-2</v>
      </c>
      <c r="O47" s="912">
        <f t="shared" si="10"/>
        <v>128447.86</v>
      </c>
      <c r="P47" s="912">
        <f t="shared" si="10"/>
        <v>221092</v>
      </c>
      <c r="Q47" s="915">
        <f t="shared" si="7"/>
        <v>8.2918830170245858E-2</v>
      </c>
      <c r="R47" s="962">
        <f t="shared" si="8"/>
        <v>0.58097018435764303</v>
      </c>
      <c r="S47" s="963">
        <f t="shared" si="15"/>
        <v>2.1677991953643398E-2</v>
      </c>
      <c r="T47" s="911">
        <f t="shared" si="5"/>
        <v>128447.86</v>
      </c>
      <c r="U47" s="964">
        <f t="shared" si="6"/>
        <v>4792.8305970149249</v>
      </c>
      <c r="V47" s="665"/>
      <c r="W47" s="917"/>
    </row>
    <row r="48" spans="3:23" hidden="1">
      <c r="C48" s="651" t="s">
        <v>945</v>
      </c>
      <c r="D48" s="651">
        <v>34681</v>
      </c>
      <c r="E48" s="912">
        <v>47396.71</v>
      </c>
      <c r="F48" s="966">
        <v>5011.16</v>
      </c>
      <c r="G48" s="915">
        <f t="shared" si="0"/>
        <v>0.73171745465033333</v>
      </c>
      <c r="H48" s="915">
        <f t="shared" si="12"/>
        <v>0.10572801361107131</v>
      </c>
      <c r="I48" s="651" t="s">
        <v>945</v>
      </c>
      <c r="J48" s="965">
        <v>82820.160000000003</v>
      </c>
      <c r="K48" s="912">
        <v>103863</v>
      </c>
      <c r="L48" s="916">
        <v>11786.41</v>
      </c>
      <c r="M48" s="915">
        <f t="shared" si="2"/>
        <v>0.79739811097310886</v>
      </c>
      <c r="N48" s="915">
        <f t="shared" si="14"/>
        <v>0.11348035392777023</v>
      </c>
      <c r="O48" s="912">
        <f t="shared" si="10"/>
        <v>117501.16</v>
      </c>
      <c r="P48" s="912">
        <f t="shared" si="10"/>
        <v>151259.71</v>
      </c>
      <c r="Q48" s="915">
        <f t="shared" si="7"/>
        <v>0.1110511847470817</v>
      </c>
      <c r="R48" s="962">
        <f t="shared" si="8"/>
        <v>0.77681730316685127</v>
      </c>
      <c r="S48" s="963">
        <f t="shared" si="15"/>
        <v>2.8985720267419822E-2</v>
      </c>
      <c r="T48" s="911">
        <f t="shared" si="5"/>
        <v>117501.16</v>
      </c>
      <c r="U48" s="964">
        <f t="shared" si="6"/>
        <v>4384.3716417910446</v>
      </c>
      <c r="V48" s="665"/>
      <c r="W48" s="917"/>
    </row>
    <row r="49" spans="3:23" hidden="1">
      <c r="C49" s="651" t="s">
        <v>1007</v>
      </c>
      <c r="D49" s="651">
        <v>32742</v>
      </c>
      <c r="E49" s="982">
        <v>58452</v>
      </c>
      <c r="F49" s="966">
        <v>4739.24</v>
      </c>
      <c r="G49" s="915">
        <f t="shared" si="0"/>
        <v>0.56015191952371179</v>
      </c>
      <c r="H49" s="915">
        <f t="shared" si="12"/>
        <v>8.1079176076096618E-2</v>
      </c>
      <c r="I49" s="651" t="s">
        <v>1007</v>
      </c>
      <c r="J49" s="965">
        <v>83715.39</v>
      </c>
      <c r="K49" s="961">
        <v>120768</v>
      </c>
      <c r="L49" s="916">
        <v>11911.94</v>
      </c>
      <c r="M49" s="915">
        <f t="shared" si="2"/>
        <v>0.69319182233704291</v>
      </c>
      <c r="N49" s="915">
        <f t="shared" si="14"/>
        <v>9.8634903285638578E-2</v>
      </c>
      <c r="O49" s="912">
        <f t="shared" si="10"/>
        <v>116457.39</v>
      </c>
      <c r="P49" s="912">
        <f t="shared" si="10"/>
        <v>179220</v>
      </c>
      <c r="Q49" s="915">
        <f t="shared" si="7"/>
        <v>9.2909161923892425E-2</v>
      </c>
      <c r="R49" s="962">
        <f t="shared" si="8"/>
        <v>0.64980130565785066</v>
      </c>
      <c r="S49" s="963">
        <f t="shared" si="15"/>
        <v>2.4246317375292935E-2</v>
      </c>
      <c r="T49" s="911">
        <f t="shared" si="5"/>
        <v>116457.39</v>
      </c>
      <c r="U49" s="964">
        <f t="shared" si="6"/>
        <v>4345.4250000000002</v>
      </c>
      <c r="V49" s="665"/>
      <c r="W49" s="917"/>
    </row>
    <row r="50" spans="3:23" hidden="1">
      <c r="C50" s="651" t="s">
        <v>1008</v>
      </c>
      <c r="D50" s="912">
        <v>28282.28</v>
      </c>
      <c r="E50" s="912">
        <v>41804</v>
      </c>
      <c r="F50" s="966">
        <v>4106.4799999999996</v>
      </c>
      <c r="G50" s="915">
        <f t="shared" si="0"/>
        <v>0.67654482824610085</v>
      </c>
      <c r="H50" s="915">
        <f t="shared" si="12"/>
        <v>9.8231748158070994E-2</v>
      </c>
      <c r="I50" s="651" t="s">
        <v>1008</v>
      </c>
      <c r="J50" s="965">
        <v>66592.78</v>
      </c>
      <c r="K50" s="912">
        <v>83186</v>
      </c>
      <c r="L50" s="916">
        <v>9493.77</v>
      </c>
      <c r="M50" s="915">
        <f t="shared" si="2"/>
        <v>0.80052869473228672</v>
      </c>
      <c r="N50" s="915">
        <f t="shared" si="14"/>
        <v>0.11412701656528744</v>
      </c>
      <c r="O50" s="912">
        <f t="shared" si="10"/>
        <v>94875.06</v>
      </c>
      <c r="P50" s="912">
        <f t="shared" si="10"/>
        <v>124990</v>
      </c>
      <c r="Q50" s="915">
        <f t="shared" si="7"/>
        <v>0.10881070485638851</v>
      </c>
      <c r="R50" s="962">
        <f t="shared" si="8"/>
        <v>0.75906120489639173</v>
      </c>
      <c r="S50" s="963">
        <f t="shared" si="15"/>
        <v>2.8323179287178795E-2</v>
      </c>
      <c r="T50" s="911">
        <f t="shared" si="5"/>
        <v>94875.06</v>
      </c>
      <c r="U50" s="964">
        <f t="shared" si="6"/>
        <v>3540.1141791044774</v>
      </c>
      <c r="V50" s="665"/>
      <c r="W50" s="917"/>
    </row>
    <row r="51" spans="3:23" hidden="1">
      <c r="C51" s="651" t="s">
        <v>1009</v>
      </c>
      <c r="D51" s="912">
        <v>39972</v>
      </c>
      <c r="E51" s="912">
        <v>58281.52</v>
      </c>
      <c r="F51" s="966">
        <v>5729.24</v>
      </c>
      <c r="G51" s="915">
        <f t="shared" si="0"/>
        <v>0.68584347148118308</v>
      </c>
      <c r="H51" s="915">
        <f t="shared" si="12"/>
        <v>9.8302858264506493E-2</v>
      </c>
      <c r="I51" s="651" t="s">
        <v>1009</v>
      </c>
      <c r="J51" s="965">
        <v>100731</v>
      </c>
      <c r="K51" s="912">
        <v>135408</v>
      </c>
      <c r="L51" s="916">
        <v>14238.74</v>
      </c>
      <c r="M51" s="915">
        <f t="shared" si="2"/>
        <v>0.74390730237504432</v>
      </c>
      <c r="N51" s="915">
        <f t="shared" si="14"/>
        <v>0.10515434833983221</v>
      </c>
      <c r="O51" s="912">
        <f t="shared" si="10"/>
        <v>140703</v>
      </c>
      <c r="P51" s="912">
        <f t="shared" si="10"/>
        <v>193689.52</v>
      </c>
      <c r="Q51" s="915">
        <f t="shared" si="7"/>
        <v>0.10309272282775031</v>
      </c>
      <c r="R51" s="962">
        <f t="shared" si="8"/>
        <v>0.72643579270576952</v>
      </c>
      <c r="S51" s="963">
        <f t="shared" si="15"/>
        <v>2.7105813160663041E-2</v>
      </c>
      <c r="T51" s="911">
        <f t="shared" si="5"/>
        <v>140703</v>
      </c>
      <c r="U51" s="964">
        <f t="shared" si="6"/>
        <v>5250.1119402985078</v>
      </c>
      <c r="V51" s="665"/>
      <c r="W51" s="917"/>
    </row>
    <row r="52" spans="3:23" hidden="1">
      <c r="C52" s="651" t="s">
        <v>1010</v>
      </c>
      <c r="D52" s="912">
        <v>49291.519999999997</v>
      </c>
      <c r="E52" s="912">
        <v>61734.66</v>
      </c>
      <c r="F52" s="966">
        <v>7014.11</v>
      </c>
      <c r="G52" s="915">
        <f t="shared" si="0"/>
        <v>0.7984415885662931</v>
      </c>
      <c r="H52" s="915">
        <f t="shared" si="12"/>
        <v>0.11361705077828239</v>
      </c>
      <c r="I52" s="651" t="s">
        <v>1010</v>
      </c>
      <c r="J52" s="965">
        <v>84616</v>
      </c>
      <c r="K52" s="912">
        <v>139596</v>
      </c>
      <c r="L52" s="916">
        <v>12299</v>
      </c>
      <c r="M52" s="915">
        <f t="shared" si="2"/>
        <v>0.60614917332874862</v>
      </c>
      <c r="N52" s="915">
        <f t="shared" si="14"/>
        <v>8.8104243674603858E-2</v>
      </c>
      <c r="O52" s="912">
        <f t="shared" si="10"/>
        <v>133907.51999999999</v>
      </c>
      <c r="P52" s="912">
        <f t="shared" si="10"/>
        <v>201330.66</v>
      </c>
      <c r="Q52" s="915">
        <f t="shared" si="7"/>
        <v>9.5927316783246036E-2</v>
      </c>
      <c r="R52" s="962">
        <f t="shared" si="8"/>
        <v>0.66511240761839252</v>
      </c>
      <c r="S52" s="963">
        <f t="shared" si="15"/>
        <v>2.4817627149940017E-2</v>
      </c>
      <c r="T52" s="911">
        <f t="shared" si="5"/>
        <v>133907.51999999999</v>
      </c>
      <c r="U52" s="964">
        <f t="shared" si="6"/>
        <v>4996.549253731343</v>
      </c>
      <c r="V52" s="665"/>
      <c r="W52" s="917"/>
    </row>
    <row r="53" spans="3:23" hidden="1">
      <c r="C53" s="651" t="s">
        <v>1011</v>
      </c>
      <c r="D53" s="912">
        <v>44281.38</v>
      </c>
      <c r="E53" s="912">
        <v>58774.41</v>
      </c>
      <c r="F53" s="966">
        <v>6308.62</v>
      </c>
      <c r="G53" s="915">
        <f t="shared" si="0"/>
        <v>0.75341258210843787</v>
      </c>
      <c r="H53" s="915">
        <f t="shared" si="12"/>
        <v>0.10733616892113421</v>
      </c>
      <c r="I53" s="651" t="s">
        <v>1011</v>
      </c>
      <c r="J53" s="965">
        <v>81240</v>
      </c>
      <c r="K53" s="912">
        <v>147339</v>
      </c>
      <c r="L53" s="916">
        <v>11475.94</v>
      </c>
      <c r="M53" s="915">
        <f t="shared" si="2"/>
        <v>0.55138150795105167</v>
      </c>
      <c r="N53" s="915">
        <f t="shared" si="14"/>
        <v>7.7887999782813785E-2</v>
      </c>
      <c r="O53" s="912">
        <f t="shared" si="10"/>
        <v>125521.38</v>
      </c>
      <c r="P53" s="912">
        <f t="shared" si="10"/>
        <v>206113.41</v>
      </c>
      <c r="Q53" s="915">
        <f t="shared" si="7"/>
        <v>8.6285312537403569E-2</v>
      </c>
      <c r="R53" s="962">
        <f t="shared" si="8"/>
        <v>0.60899181668965641</v>
      </c>
      <c r="S53" s="963">
        <f t="shared" si="15"/>
        <v>2.2723575249614044E-2</v>
      </c>
      <c r="T53" s="911">
        <f t="shared" si="5"/>
        <v>125521.38</v>
      </c>
      <c r="U53" s="964">
        <f t="shared" si="6"/>
        <v>4683.633582089552</v>
      </c>
      <c r="V53" s="665"/>
      <c r="W53" s="917"/>
    </row>
    <row r="54" spans="3:23" hidden="1">
      <c r="C54" s="651" t="s">
        <v>1012</v>
      </c>
      <c r="D54" s="912">
        <v>41333.65</v>
      </c>
      <c r="E54" s="912">
        <v>51401.72</v>
      </c>
      <c r="F54" s="966">
        <v>5898.43</v>
      </c>
      <c r="G54" s="915">
        <f t="shared" si="0"/>
        <v>0.80412970616547463</v>
      </c>
      <c r="H54" s="915">
        <f t="shared" si="12"/>
        <v>0.11475160753375568</v>
      </c>
      <c r="I54" s="651" t="s">
        <v>1012</v>
      </c>
      <c r="J54" s="965">
        <v>80731.929999999993</v>
      </c>
      <c r="K54" s="912">
        <v>144586</v>
      </c>
      <c r="L54" s="916">
        <v>11405.23</v>
      </c>
      <c r="M54" s="915">
        <f t="shared" si="2"/>
        <v>0.5583661626990164</v>
      </c>
      <c r="N54" s="915">
        <f t="shared" si="14"/>
        <v>7.8881980274715394E-2</v>
      </c>
      <c r="O54" s="912">
        <f t="shared" si="10"/>
        <v>122065.57999999999</v>
      </c>
      <c r="P54" s="912">
        <f t="shared" si="10"/>
        <v>195987.72</v>
      </c>
      <c r="Q54" s="915">
        <f t="shared" si="7"/>
        <v>8.828951119998743E-2</v>
      </c>
      <c r="R54" s="962">
        <f t="shared" si="8"/>
        <v>0.62282259317063327</v>
      </c>
      <c r="S54" s="963">
        <f t="shared" si="15"/>
        <v>2.3239648998904225E-2</v>
      </c>
      <c r="T54" s="911">
        <f t="shared" si="5"/>
        <v>122065.57999999999</v>
      </c>
      <c r="U54" s="964">
        <f t="shared" si="6"/>
        <v>4554.6858208955218</v>
      </c>
      <c r="V54" s="665"/>
      <c r="W54" s="917"/>
    </row>
    <row r="55" spans="3:23">
      <c r="C55" s="918" t="s">
        <v>1013</v>
      </c>
      <c r="D55" s="919">
        <v>34157.879999999997</v>
      </c>
      <c r="E55" s="919">
        <v>37641.43</v>
      </c>
      <c r="F55" s="967">
        <v>4888.29</v>
      </c>
      <c r="G55" s="921">
        <f t="shared" si="0"/>
        <v>0.90745436610670738</v>
      </c>
      <c r="H55" s="921">
        <f t="shared" si="12"/>
        <v>0.12986461991481194</v>
      </c>
      <c r="I55" s="918" t="s">
        <v>1013</v>
      </c>
      <c r="J55" s="919">
        <v>73218.710000000006</v>
      </c>
      <c r="K55" s="919">
        <v>114602</v>
      </c>
      <c r="L55" s="920">
        <v>10335.26</v>
      </c>
      <c r="M55" s="921">
        <f t="shared" si="2"/>
        <v>0.63889556901275724</v>
      </c>
      <c r="N55" s="921">
        <f t="shared" si="14"/>
        <v>9.0183940943439039E-2</v>
      </c>
      <c r="O55" s="919">
        <f t="shared" si="10"/>
        <v>107376.59</v>
      </c>
      <c r="P55" s="919">
        <f t="shared" si="10"/>
        <v>152243.43</v>
      </c>
      <c r="Q55" s="921">
        <f t="shared" si="7"/>
        <v>9.9994791236639902E-2</v>
      </c>
      <c r="R55" s="962">
        <f t="shared" si="8"/>
        <v>0.70529539435626221</v>
      </c>
      <c r="S55" s="963">
        <f t="shared" si="15"/>
        <v>2.6316992326726203E-2</v>
      </c>
      <c r="T55" s="911">
        <f t="shared" si="5"/>
        <v>107376.59</v>
      </c>
      <c r="U55" s="964">
        <f t="shared" si="6"/>
        <v>4006.5891791044774</v>
      </c>
      <c r="V55" s="665"/>
      <c r="W55" s="917"/>
    </row>
    <row r="56" spans="3:23">
      <c r="C56" s="651"/>
      <c r="D56" s="912"/>
      <c r="E56" s="912"/>
      <c r="F56" s="966"/>
      <c r="G56" s="915"/>
      <c r="H56" s="915"/>
      <c r="I56" s="651"/>
      <c r="J56" s="912"/>
      <c r="K56" s="912"/>
      <c r="L56" s="916"/>
      <c r="M56" s="915"/>
      <c r="N56" s="915"/>
      <c r="O56" s="912"/>
      <c r="P56" s="912"/>
      <c r="Q56" s="915"/>
      <c r="R56" s="983">
        <f>AVERAGE(R44:R55)</f>
        <v>0.68273639095651151</v>
      </c>
      <c r="S56" s="978">
        <f t="shared" si="15"/>
        <v>2.5475238468526548E-2</v>
      </c>
      <c r="T56" s="911"/>
      <c r="U56" s="964"/>
      <c r="V56" s="665"/>
      <c r="W56" s="917"/>
    </row>
    <row r="57" spans="3:23">
      <c r="C57" s="499" t="s">
        <v>1014</v>
      </c>
      <c r="D57" s="907">
        <v>39803.22</v>
      </c>
      <c r="E57" s="907">
        <v>57026.79</v>
      </c>
      <c r="F57" s="979">
        <v>5672.03</v>
      </c>
      <c r="G57" s="910">
        <f t="shared" si="0"/>
        <v>0.69797405745615348</v>
      </c>
      <c r="H57" s="910">
        <f t="shared" si="12"/>
        <v>9.9462550846716069E-2</v>
      </c>
      <c r="I57" s="499" t="s">
        <v>1014</v>
      </c>
      <c r="J57" s="907">
        <v>72944.78</v>
      </c>
      <c r="K57" s="907">
        <v>113428</v>
      </c>
      <c r="L57" s="926">
        <v>10297.23</v>
      </c>
      <c r="M57" s="910">
        <f t="shared" si="2"/>
        <v>0.643093239764432</v>
      </c>
      <c r="N57" s="910">
        <f t="shared" si="14"/>
        <v>9.0782082025602145E-2</v>
      </c>
      <c r="O57" s="907">
        <f>D57+J57</f>
        <v>112748</v>
      </c>
      <c r="P57" s="907">
        <f>E57+K57</f>
        <v>170454.79</v>
      </c>
      <c r="Q57" s="910">
        <f t="shared" si="7"/>
        <v>9.3686190924878079E-2</v>
      </c>
      <c r="R57" s="962">
        <f t="shared" si="8"/>
        <v>0.66145398436735037</v>
      </c>
      <c r="S57" s="963">
        <f>R57/26.8</f>
        <v>2.4681118819677252E-2</v>
      </c>
      <c r="T57" s="911">
        <f t="shared" si="5"/>
        <v>112748</v>
      </c>
      <c r="U57" s="964">
        <f t="shared" si="6"/>
        <v>4207.0149253731342</v>
      </c>
      <c r="V57" s="911">
        <v>247365.40000000002</v>
      </c>
      <c r="W57" s="984">
        <f t="shared" ref="W57:W68" si="16">U57/V57</f>
        <v>1.7007289319254569E-2</v>
      </c>
    </row>
    <row r="58" spans="3:23">
      <c r="C58" s="651" t="s">
        <v>1015</v>
      </c>
      <c r="D58" s="912">
        <v>36740.370000000003</v>
      </c>
      <c r="E58" s="912">
        <v>35448.080000000002</v>
      </c>
      <c r="F58" s="966">
        <v>5234.47</v>
      </c>
      <c r="G58" s="915">
        <f t="shared" si="0"/>
        <v>1.0364558531802004</v>
      </c>
      <c r="H58" s="915">
        <f t="shared" si="12"/>
        <v>0.14766582562440617</v>
      </c>
      <c r="I58" s="651" t="s">
        <v>1015</v>
      </c>
      <c r="J58" s="912">
        <v>72603.360000000001</v>
      </c>
      <c r="K58" s="651">
        <v>107839</v>
      </c>
      <c r="L58" s="916">
        <v>10225.709999999999</v>
      </c>
      <c r="M58" s="915">
        <f t="shared" si="2"/>
        <v>0.67325698494978625</v>
      </c>
      <c r="N58" s="915">
        <f t="shared" si="14"/>
        <v>9.4823857787998761E-2</v>
      </c>
      <c r="O58" s="912">
        <f t="shared" ref="O58:P73" si="17">D58+J58</f>
        <v>109343.73000000001</v>
      </c>
      <c r="P58" s="912">
        <f t="shared" si="17"/>
        <v>143287.08000000002</v>
      </c>
      <c r="Q58" s="915">
        <f t="shared" si="7"/>
        <v>0.10789653889241095</v>
      </c>
      <c r="R58" s="962">
        <f t="shared" si="8"/>
        <v>0.76310948621466779</v>
      </c>
      <c r="S58" s="963">
        <f t="shared" si="15"/>
        <v>2.8474234560248796E-2</v>
      </c>
      <c r="T58" s="911">
        <f t="shared" si="5"/>
        <v>109343.73000000001</v>
      </c>
      <c r="U58" s="964">
        <f t="shared" si="6"/>
        <v>4079.9899253731346</v>
      </c>
      <c r="V58" s="911">
        <v>206934.82166666666</v>
      </c>
      <c r="W58" s="984">
        <f t="shared" si="16"/>
        <v>1.971630435377008E-2</v>
      </c>
    </row>
    <row r="59" spans="3:23">
      <c r="C59" s="651" t="s">
        <v>1016</v>
      </c>
      <c r="D59" s="912">
        <v>32198.69</v>
      </c>
      <c r="E59" s="912">
        <v>34359.17</v>
      </c>
      <c r="F59" s="966">
        <v>4591.92</v>
      </c>
      <c r="G59" s="915">
        <f t="shared" si="0"/>
        <v>0.93712071624547388</v>
      </c>
      <c r="H59" s="915">
        <f t="shared" si="12"/>
        <v>0.13364467185906995</v>
      </c>
      <c r="I59" s="651" t="s">
        <v>1016</v>
      </c>
      <c r="J59" s="912">
        <v>64472.800000000003</v>
      </c>
      <c r="K59" s="651">
        <v>71824</v>
      </c>
      <c r="L59" s="916">
        <v>9072.91</v>
      </c>
      <c r="M59" s="915">
        <f t="shared" si="2"/>
        <v>0.89764981064825133</v>
      </c>
      <c r="N59" s="915">
        <f t="shared" si="14"/>
        <v>0.12632142459345067</v>
      </c>
      <c r="O59" s="912">
        <f t="shared" si="17"/>
        <v>96671.49</v>
      </c>
      <c r="P59" s="912">
        <f t="shared" si="17"/>
        <v>106183.17</v>
      </c>
      <c r="Q59" s="915">
        <f t="shared" si="7"/>
        <v>0.12869110989999638</v>
      </c>
      <c r="R59" s="962">
        <f t="shared" si="8"/>
        <v>0.91042196235053074</v>
      </c>
      <c r="S59" s="963">
        <f t="shared" si="15"/>
        <v>3.3970968744422791E-2</v>
      </c>
      <c r="T59" s="911">
        <f t="shared" si="5"/>
        <v>96671.49</v>
      </c>
      <c r="U59" s="964">
        <f t="shared" si="6"/>
        <v>3607.1451492537312</v>
      </c>
      <c r="V59" s="911">
        <v>232244.70299999998</v>
      </c>
      <c r="W59" s="984">
        <f t="shared" si="16"/>
        <v>1.5531657353897676E-2</v>
      </c>
    </row>
    <row r="60" spans="3:23">
      <c r="C60" s="651" t="s">
        <v>1017</v>
      </c>
      <c r="D60" s="912">
        <v>31301.47</v>
      </c>
      <c r="E60" s="912">
        <v>36886.699999999997</v>
      </c>
      <c r="F60" s="966">
        <v>4333.3</v>
      </c>
      <c r="G60" s="915">
        <f t="shared" si="0"/>
        <v>0.84858417803707042</v>
      </c>
      <c r="H60" s="915">
        <f t="shared" si="12"/>
        <v>0.11747594661490457</v>
      </c>
      <c r="I60" s="651" t="s">
        <v>1017</v>
      </c>
      <c r="J60" s="912">
        <v>46327.92</v>
      </c>
      <c r="K60" s="651">
        <v>73038</v>
      </c>
      <c r="L60" s="916">
        <v>6369.13</v>
      </c>
      <c r="M60" s="915">
        <f t="shared" si="2"/>
        <v>0.63429885812864539</v>
      </c>
      <c r="N60" s="915">
        <f t="shared" si="14"/>
        <v>8.7202962841260709E-2</v>
      </c>
      <c r="O60" s="912">
        <f t="shared" si="17"/>
        <v>77629.39</v>
      </c>
      <c r="P60" s="912">
        <f t="shared" si="17"/>
        <v>109924.7</v>
      </c>
      <c r="Q60" s="915">
        <f t="shared" si="7"/>
        <v>9.7361466531179983E-2</v>
      </c>
      <c r="R60" s="962">
        <f t="shared" si="8"/>
        <v>0.70620515680279317</v>
      </c>
      <c r="S60" s="963">
        <f t="shared" si="15"/>
        <v>2.6350938686671387E-2</v>
      </c>
      <c r="T60" s="911">
        <f t="shared" si="5"/>
        <v>77629.39</v>
      </c>
      <c r="U60" s="964">
        <f t="shared" si="6"/>
        <v>2896.6190298507463</v>
      </c>
      <c r="V60" s="911">
        <v>232973.31666666668</v>
      </c>
      <c r="W60" s="984">
        <f t="shared" si="16"/>
        <v>1.2433265196611198E-2</v>
      </c>
    </row>
    <row r="61" spans="3:23">
      <c r="C61" s="651" t="s">
        <v>1018</v>
      </c>
      <c r="D61" s="912">
        <v>38600.31</v>
      </c>
      <c r="E61" s="912">
        <v>43113.8</v>
      </c>
      <c r="F61" s="966">
        <v>5060.3599999999997</v>
      </c>
      <c r="G61" s="915">
        <f t="shared" si="0"/>
        <v>0.89531217382833328</v>
      </c>
      <c r="H61" s="915">
        <f t="shared" si="12"/>
        <v>0.11737216390111749</v>
      </c>
      <c r="I61" s="651" t="s">
        <v>1018</v>
      </c>
      <c r="J61" s="912">
        <v>55490.68</v>
      </c>
      <c r="K61" s="651">
        <v>82775</v>
      </c>
      <c r="L61" s="916">
        <v>7238.05</v>
      </c>
      <c r="M61" s="915">
        <f t="shared" si="2"/>
        <v>0.67037970401691327</v>
      </c>
      <c r="N61" s="915">
        <f t="shared" si="14"/>
        <v>8.7442464512231963E-2</v>
      </c>
      <c r="O61" s="912">
        <f t="shared" si="17"/>
        <v>94090.989999999991</v>
      </c>
      <c r="P61" s="912">
        <f t="shared" si="17"/>
        <v>125888.8</v>
      </c>
      <c r="Q61" s="915">
        <f t="shared" si="7"/>
        <v>9.7692646208399792E-2</v>
      </c>
      <c r="R61" s="962">
        <f t="shared" si="8"/>
        <v>0.74741351097158748</v>
      </c>
      <c r="S61" s="963">
        <f t="shared" si="15"/>
        <v>2.7888563842223414E-2</v>
      </c>
      <c r="T61" s="911">
        <f t="shared" si="5"/>
        <v>94090.989999999991</v>
      </c>
      <c r="U61" s="964">
        <f t="shared" si="6"/>
        <v>3510.8578358208952</v>
      </c>
      <c r="V61" s="911">
        <v>231355.22666666668</v>
      </c>
      <c r="W61" s="984">
        <f t="shared" si="16"/>
        <v>1.5175182711040668E-2</v>
      </c>
    </row>
    <row r="62" spans="3:23">
      <c r="C62" s="651" t="s">
        <v>1019</v>
      </c>
      <c r="D62" s="912">
        <v>36831.68</v>
      </c>
      <c r="E62" s="912">
        <v>51977.09</v>
      </c>
      <c r="F62" s="966">
        <v>5325.56</v>
      </c>
      <c r="G62" s="915">
        <f t="shared" si="0"/>
        <v>0.70861373732157773</v>
      </c>
      <c r="H62" s="915">
        <f t="shared" si="12"/>
        <v>0.10245975678900071</v>
      </c>
      <c r="I62" s="651" t="s">
        <v>1019</v>
      </c>
      <c r="J62" s="912">
        <v>62003.46</v>
      </c>
      <c r="K62" s="651">
        <v>85193</v>
      </c>
      <c r="L62" s="916">
        <v>8896.49</v>
      </c>
      <c r="M62" s="915">
        <f t="shared" si="2"/>
        <v>0.72779993661451059</v>
      </c>
      <c r="N62" s="915">
        <f t="shared" si="14"/>
        <v>0.1044274764358574</v>
      </c>
      <c r="O62" s="912">
        <f t="shared" si="17"/>
        <v>98835.14</v>
      </c>
      <c r="P62" s="912">
        <f t="shared" si="17"/>
        <v>137170.09</v>
      </c>
      <c r="Q62" s="915">
        <f t="shared" si="7"/>
        <v>0.10368185950741886</v>
      </c>
      <c r="R62" s="962">
        <f t="shared" si="8"/>
        <v>0.72052981812580286</v>
      </c>
      <c r="S62" s="963">
        <f t="shared" si="15"/>
        <v>2.688544097484339E-2</v>
      </c>
      <c r="T62" s="911">
        <f t="shared" si="5"/>
        <v>98835.14</v>
      </c>
      <c r="U62" s="964">
        <f t="shared" si="6"/>
        <v>3687.878358208955</v>
      </c>
      <c r="V62" s="911">
        <v>178357.34</v>
      </c>
      <c r="W62" s="984">
        <f t="shared" si="16"/>
        <v>2.0676908268585724E-2</v>
      </c>
    </row>
    <row r="63" spans="3:23">
      <c r="C63" s="651" t="s">
        <v>1020</v>
      </c>
      <c r="D63" s="651">
        <v>31893</v>
      </c>
      <c r="E63" s="912">
        <v>35436.03</v>
      </c>
      <c r="F63" s="966">
        <v>4614.42</v>
      </c>
      <c r="G63" s="915">
        <f t="shared" si="0"/>
        <v>0.90001616998292422</v>
      </c>
      <c r="H63" s="915">
        <f t="shared" si="12"/>
        <v>0.13021831170139544</v>
      </c>
      <c r="I63" s="651" t="s">
        <v>1020</v>
      </c>
      <c r="J63" s="912">
        <v>58775.85</v>
      </c>
      <c r="K63" s="651">
        <v>81142</v>
      </c>
      <c r="L63" s="942">
        <v>8414.42</v>
      </c>
      <c r="M63" s="915">
        <f t="shared" si="2"/>
        <v>0.7243579157526312</v>
      </c>
      <c r="N63" s="915">
        <f t="shared" si="14"/>
        <v>0.10369993345000124</v>
      </c>
      <c r="O63" s="912">
        <f t="shared" si="17"/>
        <v>90668.85</v>
      </c>
      <c r="P63" s="912">
        <f t="shared" si="17"/>
        <v>116578.03</v>
      </c>
      <c r="Q63" s="915">
        <f t="shared" si="7"/>
        <v>0.11176068080752437</v>
      </c>
      <c r="R63" s="962">
        <f t="shared" si="8"/>
        <v>0.77775246330719439</v>
      </c>
      <c r="S63" s="963">
        <f t="shared" si="15"/>
        <v>2.9020614302507252E-2</v>
      </c>
      <c r="T63" s="911">
        <f t="shared" si="5"/>
        <v>90668.85</v>
      </c>
      <c r="U63" s="964">
        <f t="shared" si="6"/>
        <v>3383.1660447761196</v>
      </c>
      <c r="V63" s="911">
        <v>205874.74766666666</v>
      </c>
      <c r="W63" s="984">
        <f t="shared" si="16"/>
        <v>1.6433127827089455E-2</v>
      </c>
    </row>
    <row r="64" spans="3:23">
      <c r="C64" s="651" t="s">
        <v>1021</v>
      </c>
      <c r="D64" s="912">
        <v>37861.89</v>
      </c>
      <c r="E64" s="912">
        <v>45909.61</v>
      </c>
      <c r="F64" s="966">
        <v>5165.76</v>
      </c>
      <c r="G64" s="915">
        <f t="shared" si="0"/>
        <v>0.82470511076003472</v>
      </c>
      <c r="H64" s="915">
        <f t="shared" si="12"/>
        <v>0.11252023269202244</v>
      </c>
      <c r="I64" s="651" t="s">
        <v>1021</v>
      </c>
      <c r="J64" s="912">
        <v>73562.12</v>
      </c>
      <c r="K64" s="912">
        <v>100667</v>
      </c>
      <c r="L64" s="942">
        <v>9939.26</v>
      </c>
      <c r="M64" s="915">
        <f t="shared" si="2"/>
        <v>0.73074711673140147</v>
      </c>
      <c r="N64" s="915">
        <f t="shared" si="14"/>
        <v>9.8734043927006868E-2</v>
      </c>
      <c r="O64" s="912">
        <f t="shared" si="17"/>
        <v>111424.01</v>
      </c>
      <c r="P64" s="912">
        <f t="shared" si="17"/>
        <v>146576.60999999999</v>
      </c>
      <c r="Q64" s="915">
        <f t="shared" si="7"/>
        <v>0.10305204902746763</v>
      </c>
      <c r="R64" s="962">
        <f t="shared" si="8"/>
        <v>0.7601759243852072</v>
      </c>
      <c r="S64" s="963">
        <f t="shared" si="15"/>
        <v>2.8364773297955493E-2</v>
      </c>
      <c r="T64" s="911">
        <f t="shared" si="5"/>
        <v>111424.01</v>
      </c>
      <c r="U64" s="964">
        <f t="shared" si="6"/>
        <v>4157.6123134328354</v>
      </c>
      <c r="V64" s="911">
        <v>222396.03445833334</v>
      </c>
      <c r="W64" s="984">
        <f t="shared" si="16"/>
        <v>1.8694633308364041E-2</v>
      </c>
    </row>
    <row r="65" spans="1:23">
      <c r="C65" s="651" t="s">
        <v>1022</v>
      </c>
      <c r="D65" s="912">
        <v>36645.08</v>
      </c>
      <c r="E65" s="912">
        <v>39532.400000000001</v>
      </c>
      <c r="F65" s="966">
        <v>4978.63</v>
      </c>
      <c r="G65" s="915">
        <f t="shared" si="0"/>
        <v>0.92696319980572894</v>
      </c>
      <c r="H65" s="915">
        <f t="shared" si="12"/>
        <v>0.12593796480861269</v>
      </c>
      <c r="I65" s="651" t="s">
        <v>1022</v>
      </c>
      <c r="J65" s="912">
        <v>64957.14</v>
      </c>
      <c r="K65" s="651">
        <v>80077</v>
      </c>
      <c r="L65" s="942">
        <v>8749.48</v>
      </c>
      <c r="M65" s="915">
        <f t="shared" si="2"/>
        <v>0.81118348589482625</v>
      </c>
      <c r="N65" s="915">
        <f t="shared" si="14"/>
        <v>0.10926333404098555</v>
      </c>
      <c r="O65" s="912">
        <f t="shared" si="17"/>
        <v>101602.22</v>
      </c>
      <c r="P65" s="912">
        <f t="shared" si="17"/>
        <v>119609.4</v>
      </c>
      <c r="Q65" s="915">
        <f t="shared" si="7"/>
        <v>0.114774507689195</v>
      </c>
      <c r="R65" s="962">
        <f t="shared" si="8"/>
        <v>0.84945012682949672</v>
      </c>
      <c r="S65" s="963">
        <f t="shared" si="15"/>
        <v>3.1695900254831967E-2</v>
      </c>
      <c r="T65" s="911">
        <f t="shared" si="5"/>
        <v>101602.22</v>
      </c>
      <c r="U65" s="964">
        <f t="shared" si="6"/>
        <v>3791.1276119402983</v>
      </c>
      <c r="V65" s="911">
        <v>229546.44075000001</v>
      </c>
      <c r="W65" s="984">
        <f t="shared" si="16"/>
        <v>1.6515732500811158E-2</v>
      </c>
    </row>
    <row r="66" spans="1:23">
      <c r="C66" s="651" t="s">
        <v>1023</v>
      </c>
      <c r="D66" s="912">
        <v>38094.14</v>
      </c>
      <c r="E66" s="912">
        <v>43472.25</v>
      </c>
      <c r="F66" s="966">
        <v>5144.71</v>
      </c>
      <c r="G66" s="915">
        <f t="shared" si="0"/>
        <v>0.87628636659018111</v>
      </c>
      <c r="H66" s="915">
        <f t="shared" si="12"/>
        <v>0.11834469115355198</v>
      </c>
      <c r="I66" s="651" t="s">
        <v>1023</v>
      </c>
      <c r="J66" s="912">
        <v>46429.15</v>
      </c>
      <c r="K66" s="651">
        <v>66000</v>
      </c>
      <c r="L66" s="942">
        <v>6263.75</v>
      </c>
      <c r="M66" s="915">
        <f t="shared" si="2"/>
        <v>0.70347196969696968</v>
      </c>
      <c r="N66" s="915">
        <f t="shared" si="14"/>
        <v>9.4905303030303034E-2</v>
      </c>
      <c r="O66" s="912">
        <f t="shared" si="17"/>
        <v>84523.290000000008</v>
      </c>
      <c r="P66" s="912">
        <f t="shared" si="17"/>
        <v>109472.25</v>
      </c>
      <c r="Q66" s="915">
        <f t="shared" si="7"/>
        <v>0.10421325952467406</v>
      </c>
      <c r="R66" s="962">
        <f t="shared" si="8"/>
        <v>0.77209786041668105</v>
      </c>
      <c r="S66" s="963">
        <f t="shared" si="15"/>
        <v>2.8809621657338844E-2</v>
      </c>
      <c r="T66" s="911">
        <f t="shared" si="5"/>
        <v>84523.290000000008</v>
      </c>
      <c r="U66" s="964">
        <f t="shared" si="6"/>
        <v>3153.8541044776121</v>
      </c>
      <c r="V66" s="911">
        <v>206875.81258333332</v>
      </c>
      <c r="W66" s="984">
        <f t="shared" si="16"/>
        <v>1.5245156333620117E-2</v>
      </c>
    </row>
    <row r="67" spans="1:23">
      <c r="C67" s="651" t="s">
        <v>1024</v>
      </c>
      <c r="D67" s="912">
        <v>47586.400000000001</v>
      </c>
      <c r="E67" s="912">
        <v>52586.46</v>
      </c>
      <c r="F67" s="966">
        <v>6332.47</v>
      </c>
      <c r="G67" s="915">
        <f t="shared" si="0"/>
        <v>0.90491734944698698</v>
      </c>
      <c r="H67" s="915">
        <f t="shared" si="12"/>
        <v>0.1204201613875511</v>
      </c>
      <c r="I67" s="651" t="s">
        <v>1024</v>
      </c>
      <c r="J67" s="912">
        <v>58710.35</v>
      </c>
      <c r="K67" s="651">
        <v>63765</v>
      </c>
      <c r="L67" s="942">
        <v>8126.56</v>
      </c>
      <c r="M67" s="915">
        <f t="shared" si="2"/>
        <v>0.92073002430800599</v>
      </c>
      <c r="N67" s="915">
        <f>L67/K67</f>
        <v>0.12744546381243629</v>
      </c>
      <c r="O67" s="912">
        <f t="shared" si="17"/>
        <v>106296.75</v>
      </c>
      <c r="P67" s="912">
        <f t="shared" si="17"/>
        <v>116351.45999999999</v>
      </c>
      <c r="Q67" s="915">
        <f>((F67+L67)/(E67+K67))</f>
        <v>0.12427029278360582</v>
      </c>
      <c r="R67" s="962">
        <f t="shared" si="8"/>
        <v>0.91358329323929421</v>
      </c>
      <c r="S67" s="963">
        <f t="shared" si="15"/>
        <v>3.4088928852212472E-2</v>
      </c>
      <c r="T67" s="911">
        <f t="shared" si="5"/>
        <v>106296.75</v>
      </c>
      <c r="U67" s="964">
        <f t="shared" si="6"/>
        <v>3966.2966417910447</v>
      </c>
      <c r="V67" s="911">
        <v>172335.19591666665</v>
      </c>
      <c r="W67" s="984">
        <f t="shared" si="16"/>
        <v>2.3015012230635481E-2</v>
      </c>
    </row>
    <row r="68" spans="1:23">
      <c r="C68" s="651" t="s">
        <v>1025</v>
      </c>
      <c r="D68" s="912">
        <v>33365.870000000003</v>
      </c>
      <c r="E68" s="912">
        <v>43315.18</v>
      </c>
      <c r="F68" s="966">
        <v>4432.87</v>
      </c>
      <c r="G68" s="915">
        <f t="shared" si="0"/>
        <v>0.77030431363785168</v>
      </c>
      <c r="H68" s="915">
        <f t="shared" si="12"/>
        <v>0.10233987253429398</v>
      </c>
      <c r="I68" s="651" t="s">
        <v>1025</v>
      </c>
      <c r="J68" s="912">
        <v>49372.91</v>
      </c>
      <c r="K68" s="651">
        <v>45172</v>
      </c>
      <c r="L68" s="942">
        <v>6840.34</v>
      </c>
      <c r="M68" s="915">
        <f t="shared" si="2"/>
        <v>1.0929980961657664</v>
      </c>
      <c r="N68" s="915">
        <f>L68/K68</f>
        <v>0.15142876117949172</v>
      </c>
      <c r="O68" s="912">
        <f t="shared" si="17"/>
        <v>82738.78</v>
      </c>
      <c r="P68" s="912">
        <f t="shared" si="17"/>
        <v>88487.18</v>
      </c>
      <c r="Q68" s="915">
        <f>((F68+L68)/(E68+K68))</f>
        <v>0.12739935886757833</v>
      </c>
      <c r="R68" s="962">
        <f t="shared" si="8"/>
        <v>0.93503691721218829</v>
      </c>
      <c r="S68" s="963">
        <f t="shared" si="15"/>
        <v>3.4889437209410012E-2</v>
      </c>
      <c r="T68" s="911">
        <f t="shared" si="5"/>
        <v>82738.78</v>
      </c>
      <c r="U68" s="964">
        <f t="shared" si="6"/>
        <v>3087.2679104477611</v>
      </c>
      <c r="V68" s="911">
        <v>203350.95333333334</v>
      </c>
      <c r="W68" s="984">
        <f t="shared" si="16"/>
        <v>1.5181969200739888E-2</v>
      </c>
    </row>
    <row r="69" spans="1:23">
      <c r="A69" s="881" t="s">
        <v>716</v>
      </c>
      <c r="C69" s="918"/>
      <c r="D69" s="919"/>
      <c r="E69" s="919"/>
      <c r="F69" s="967"/>
      <c r="G69" s="921"/>
      <c r="H69" s="921"/>
      <c r="I69" s="918"/>
      <c r="J69" s="919"/>
      <c r="K69" s="918"/>
      <c r="L69" s="986"/>
      <c r="M69" s="921"/>
      <c r="N69" s="921"/>
      <c r="O69" s="919"/>
      <c r="P69" s="919"/>
      <c r="Q69" s="921"/>
      <c r="R69" s="969"/>
      <c r="S69" s="987"/>
      <c r="T69" s="911"/>
      <c r="U69" s="964"/>
      <c r="V69" s="911"/>
      <c r="W69" s="984"/>
    </row>
    <row r="70" spans="1:23">
      <c r="A70" t="s">
        <v>240</v>
      </c>
      <c r="C70" s="651" t="s">
        <v>1026</v>
      </c>
      <c r="D70" s="1001">
        <v>37526.43</v>
      </c>
      <c r="E70" s="1001">
        <v>41397</v>
      </c>
      <c r="F70" s="1002">
        <v>4874.8999999999996</v>
      </c>
      <c r="G70" s="915">
        <f t="shared" ref="G70:G80" si="18">D70/E70</f>
        <v>0.90650119573882171</v>
      </c>
      <c r="H70" s="915">
        <f t="shared" si="12"/>
        <v>0.117759741044037</v>
      </c>
      <c r="I70" s="651" t="s">
        <v>1026</v>
      </c>
      <c r="J70" s="1001">
        <v>51915.69</v>
      </c>
      <c r="K70" s="1001">
        <v>54489</v>
      </c>
      <c r="L70" s="1002">
        <v>7031.05</v>
      </c>
      <c r="M70" s="915">
        <f t="shared" ref="M70:M80" si="19">J70/K70</f>
        <v>0.95277377085283277</v>
      </c>
      <c r="N70" s="915">
        <f t="shared" ref="N70:N80" si="20">L70/K70</f>
        <v>0.12903613573381784</v>
      </c>
      <c r="O70" s="912">
        <f t="shared" si="17"/>
        <v>89442.12</v>
      </c>
      <c r="P70" s="912">
        <f t="shared" si="17"/>
        <v>95886</v>
      </c>
      <c r="Q70" s="915">
        <f t="shared" ref="Q70:Q80" si="21">((F70+L70)/(E70+K70))</f>
        <v>0.12416776171703899</v>
      </c>
      <c r="R70" s="962">
        <f t="shared" ref="R70:R80" si="22">((D70+J70)/(E70+K70))</f>
        <v>0.93279644577936294</v>
      </c>
      <c r="S70" s="963">
        <f t="shared" si="15"/>
        <v>3.4805837529080709E-2</v>
      </c>
      <c r="T70" s="911">
        <f t="shared" ref="T70:T80" si="23">D70+J70</f>
        <v>89442.12</v>
      </c>
      <c r="U70" s="964">
        <f t="shared" ref="U70:U80" si="24">T70/26.8</f>
        <v>3337.3925373134325</v>
      </c>
      <c r="V70" s="911">
        <v>157258.49583333332</v>
      </c>
      <c r="W70" s="984">
        <f t="shared" ref="W70:W80" si="25">U70/V70</f>
        <v>2.1222335363365607E-2</v>
      </c>
    </row>
    <row r="71" spans="1:23">
      <c r="A71" t="s">
        <v>994</v>
      </c>
      <c r="C71" s="651" t="s">
        <v>1027</v>
      </c>
      <c r="D71" s="1001">
        <v>26866.98</v>
      </c>
      <c r="E71" s="1001">
        <v>30186.61</v>
      </c>
      <c r="F71" s="1002">
        <v>8644.25</v>
      </c>
      <c r="G71" s="915">
        <f t="shared" si="18"/>
        <v>0.89002971847451562</v>
      </c>
      <c r="H71" s="915">
        <f t="shared" si="12"/>
        <v>0.28636040946631636</v>
      </c>
      <c r="I71" s="651" t="s">
        <v>1027</v>
      </c>
      <c r="J71" s="1001">
        <v>59915.24</v>
      </c>
      <c r="K71" s="1001">
        <v>50616.82</v>
      </c>
      <c r="L71" s="1002">
        <v>19463</v>
      </c>
      <c r="M71" s="915">
        <f t="shared" si="19"/>
        <v>1.1837021764701932</v>
      </c>
      <c r="N71" s="915">
        <f t="shared" si="20"/>
        <v>0.38451645125078976</v>
      </c>
      <c r="O71" s="912">
        <f t="shared" si="17"/>
        <v>86782.22</v>
      </c>
      <c r="P71" s="912">
        <f t="shared" si="17"/>
        <v>80803.429999999993</v>
      </c>
      <c r="Q71" s="915">
        <f t="shared" si="21"/>
        <v>0.3478472386630122</v>
      </c>
      <c r="R71" s="962">
        <f t="shared" si="22"/>
        <v>1.0739917847546818</v>
      </c>
      <c r="S71" s="963">
        <f t="shared" si="15"/>
        <v>4.0074320326667232E-2</v>
      </c>
      <c r="T71" s="911">
        <f t="shared" si="23"/>
        <v>86782.22</v>
      </c>
      <c r="U71" s="964">
        <f t="shared" si="24"/>
        <v>3238.142537313433</v>
      </c>
      <c r="V71" s="956">
        <v>162692.98000000001</v>
      </c>
      <c r="W71" s="984">
        <f t="shared" si="25"/>
        <v>1.990339434014567E-2</v>
      </c>
    </row>
    <row r="72" spans="1:23">
      <c r="A72" t="s">
        <v>996</v>
      </c>
      <c r="C72" s="651" t="s">
        <v>1028</v>
      </c>
      <c r="D72" s="1001">
        <v>29697.59</v>
      </c>
      <c r="E72" s="1001">
        <v>36498.589999999997</v>
      </c>
      <c r="F72" s="1002">
        <v>9451.5400000000009</v>
      </c>
      <c r="G72" s="915">
        <f t="shared" si="18"/>
        <v>0.81366403469284709</v>
      </c>
      <c r="H72" s="915">
        <f t="shared" si="12"/>
        <v>0.25895630488739435</v>
      </c>
      <c r="I72" s="651" t="s">
        <v>1028</v>
      </c>
      <c r="J72" s="1001">
        <v>57058.83</v>
      </c>
      <c r="K72" s="1001">
        <v>63747.38</v>
      </c>
      <c r="L72" s="1002">
        <v>18380.2</v>
      </c>
      <c r="M72" s="915">
        <f t="shared" si="19"/>
        <v>0.8950772565084244</v>
      </c>
      <c r="N72" s="915">
        <f t="shared" si="20"/>
        <v>0.288328712489831</v>
      </c>
      <c r="O72" s="912">
        <f t="shared" si="17"/>
        <v>86756.42</v>
      </c>
      <c r="P72" s="912">
        <f t="shared" si="17"/>
        <v>100245.97</v>
      </c>
      <c r="Q72" s="915">
        <f t="shared" si="21"/>
        <v>0.27763450241441129</v>
      </c>
      <c r="R72" s="962">
        <f t="shared" si="22"/>
        <v>0.86543548832935624</v>
      </c>
      <c r="S72" s="963">
        <f t="shared" si="15"/>
        <v>3.2292368967513294E-2</v>
      </c>
      <c r="T72" s="911">
        <f t="shared" si="23"/>
        <v>86756.42</v>
      </c>
      <c r="U72" s="964">
        <f t="shared" si="24"/>
        <v>3237.1798507462686</v>
      </c>
      <c r="V72" s="985">
        <v>150371.86333333334</v>
      </c>
      <c r="W72" s="984">
        <f t="shared" si="25"/>
        <v>2.1527829601807387E-2</v>
      </c>
    </row>
    <row r="73" spans="1:23">
      <c r="C73" s="651" t="s">
        <v>1029</v>
      </c>
      <c r="D73" s="1001">
        <v>22926.75</v>
      </c>
      <c r="E73" s="1001">
        <v>32178.83</v>
      </c>
      <c r="F73" s="1002">
        <v>7186.67</v>
      </c>
      <c r="G73" s="915">
        <f t="shared" si="18"/>
        <v>0.71247929150935563</v>
      </c>
      <c r="H73" s="915">
        <f t="shared" si="12"/>
        <v>0.22333534190024931</v>
      </c>
      <c r="I73" s="651" t="s">
        <v>1029</v>
      </c>
      <c r="J73" s="1001">
        <v>56296.59</v>
      </c>
      <c r="K73" s="1001">
        <v>58362.75</v>
      </c>
      <c r="L73" s="1002">
        <v>17801.57</v>
      </c>
      <c r="M73" s="915">
        <f t="shared" si="19"/>
        <v>0.96459796702520006</v>
      </c>
      <c r="N73" s="915">
        <f t="shared" si="20"/>
        <v>0.30501595623921079</v>
      </c>
      <c r="O73" s="912">
        <f t="shared" si="17"/>
        <v>79223.34</v>
      </c>
      <c r="P73" s="912">
        <f t="shared" si="17"/>
        <v>90541.58</v>
      </c>
      <c r="Q73" s="915">
        <f t="shared" si="21"/>
        <v>0.2759863479298682</v>
      </c>
      <c r="R73" s="962">
        <f t="shared" si="22"/>
        <v>0.87499400827774376</v>
      </c>
      <c r="S73" s="963">
        <f t="shared" si="15"/>
        <v>3.2649030159617301E-2</v>
      </c>
      <c r="T73" s="911">
        <f t="shared" si="23"/>
        <v>79223.34</v>
      </c>
      <c r="U73" s="964">
        <f t="shared" si="24"/>
        <v>2956.0947761194029</v>
      </c>
      <c r="V73" s="985">
        <v>175263.78333333335</v>
      </c>
      <c r="W73" s="984">
        <f t="shared" si="25"/>
        <v>1.6866546641283103E-2</v>
      </c>
    </row>
    <row r="74" spans="1:23">
      <c r="C74" s="651" t="s">
        <v>1030</v>
      </c>
      <c r="D74" s="1001">
        <v>27448.58</v>
      </c>
      <c r="E74" s="1001">
        <v>42791.100000000006</v>
      </c>
      <c r="F74" s="1002">
        <v>8581.26</v>
      </c>
      <c r="G74" s="915">
        <f t="shared" si="18"/>
        <v>0.64145534936003046</v>
      </c>
      <c r="H74" s="915">
        <f t="shared" si="12"/>
        <v>0.20053842972019881</v>
      </c>
      <c r="I74" s="651" t="s">
        <v>1030</v>
      </c>
      <c r="J74" s="1001">
        <v>58173.14</v>
      </c>
      <c r="K74" s="1001">
        <v>86870.61</v>
      </c>
      <c r="L74" s="1002">
        <v>18380.32</v>
      </c>
      <c r="M74" s="915">
        <f t="shared" si="19"/>
        <v>0.6696527168394466</v>
      </c>
      <c r="N74" s="915">
        <f t="shared" si="20"/>
        <v>0.21158272055416671</v>
      </c>
      <c r="O74" s="912">
        <f t="shared" ref="O74:P80" si="26">D74+J74</f>
        <v>85621.72</v>
      </c>
      <c r="P74" s="912">
        <f t="shared" si="26"/>
        <v>129661.71</v>
      </c>
      <c r="Q74" s="915">
        <f t="shared" si="21"/>
        <v>0.20793787155822641</v>
      </c>
      <c r="R74" s="962">
        <f t="shared" si="22"/>
        <v>0.66034699064203295</v>
      </c>
      <c r="S74" s="963">
        <f t="shared" si="15"/>
        <v>2.4639813083657945E-2</v>
      </c>
      <c r="T74" s="911">
        <f t="shared" si="23"/>
        <v>85621.72</v>
      </c>
      <c r="U74" s="964">
        <f t="shared" si="24"/>
        <v>3194.8402985074626</v>
      </c>
      <c r="V74" s="985">
        <f>Electricity!X75</f>
        <v>211660.26333333334</v>
      </c>
      <c r="W74" s="984">
        <f t="shared" si="25"/>
        <v>1.5094190322706279E-2</v>
      </c>
    </row>
    <row r="75" spans="1:23">
      <c r="C75" s="651" t="s">
        <v>1031</v>
      </c>
      <c r="D75" s="1001">
        <v>34594.58</v>
      </c>
      <c r="E75" s="1001">
        <v>39889.81</v>
      </c>
      <c r="F75" s="1002">
        <v>10636.06</v>
      </c>
      <c r="G75" s="915">
        <f t="shared" si="18"/>
        <v>0.86725356676304055</v>
      </c>
      <c r="H75" s="915">
        <f t="shared" si="12"/>
        <v>0.26663601556387456</v>
      </c>
      <c r="I75" s="651" t="s">
        <v>1031</v>
      </c>
      <c r="J75" s="1001">
        <v>56296.59</v>
      </c>
      <c r="K75" s="1001">
        <v>82245.350000000006</v>
      </c>
      <c r="L75" s="1002">
        <v>17555.47</v>
      </c>
      <c r="M75" s="915">
        <f t="shared" si="19"/>
        <v>0.68449571921087327</v>
      </c>
      <c r="N75" s="915">
        <f t="shared" si="20"/>
        <v>0.21345243226516758</v>
      </c>
      <c r="O75" s="912">
        <f t="shared" si="26"/>
        <v>90891.17</v>
      </c>
      <c r="P75" s="912">
        <f t="shared" si="26"/>
        <v>122135.16</v>
      </c>
      <c r="Q75" s="915">
        <f t="shared" si="21"/>
        <v>0.2308223938135423</v>
      </c>
      <c r="R75" s="962">
        <f t="shared" si="22"/>
        <v>0.74418513063723823</v>
      </c>
      <c r="S75" s="963">
        <f t="shared" si="15"/>
        <v>2.7768101889449188E-2</v>
      </c>
      <c r="T75" s="911">
        <f t="shared" si="23"/>
        <v>90891.17</v>
      </c>
      <c r="U75" s="964">
        <f t="shared" si="24"/>
        <v>3391.4615671641791</v>
      </c>
      <c r="V75" s="985">
        <f>Electricity!X76</f>
        <v>194768.66666666666</v>
      </c>
      <c r="W75" s="984">
        <f t="shared" si="25"/>
        <v>1.7412767798880274E-2</v>
      </c>
    </row>
    <row r="76" spans="1:23">
      <c r="C76" s="651" t="s">
        <v>1032</v>
      </c>
      <c r="D76" s="1001">
        <v>32669.13</v>
      </c>
      <c r="E76" s="1001">
        <v>45089.57</v>
      </c>
      <c r="F76" s="1002">
        <v>10050.44</v>
      </c>
      <c r="G76" s="915">
        <f t="shared" si="18"/>
        <v>0.72453851300866257</v>
      </c>
      <c r="H76" s="915">
        <f t="shared" si="12"/>
        <v>0.22289944215480434</v>
      </c>
      <c r="I76" s="651" t="s">
        <v>1032</v>
      </c>
      <c r="J76" s="1001">
        <v>58173.14</v>
      </c>
      <c r="K76" s="1001">
        <v>61199.12</v>
      </c>
      <c r="L76" s="1002">
        <v>18126.21</v>
      </c>
      <c r="M76" s="915">
        <f t="shared" si="19"/>
        <v>0.95055517138154921</v>
      </c>
      <c r="N76" s="915">
        <f t="shared" si="20"/>
        <v>0.29618416081799864</v>
      </c>
      <c r="O76" s="912">
        <f t="shared" si="26"/>
        <v>90842.27</v>
      </c>
      <c r="P76" s="912">
        <f t="shared" si="26"/>
        <v>106288.69</v>
      </c>
      <c r="Q76" s="915">
        <f t="shared" si="21"/>
        <v>0.26509546782446941</v>
      </c>
      <c r="R76" s="962">
        <f t="shared" si="22"/>
        <v>0.8546748482834815</v>
      </c>
      <c r="S76" s="963">
        <f t="shared" si="15"/>
        <v>3.1890852547891098E-2</v>
      </c>
      <c r="T76" s="911">
        <f t="shared" si="23"/>
        <v>90842.27</v>
      </c>
      <c r="U76" s="964">
        <f t="shared" si="24"/>
        <v>3389.6369402985074</v>
      </c>
      <c r="V76" s="985">
        <f>Electricity!X77</f>
        <v>175411.07666666666</v>
      </c>
      <c r="W76" s="984">
        <f t="shared" si="25"/>
        <v>1.9323961774317298E-2</v>
      </c>
    </row>
    <row r="77" spans="1:23">
      <c r="C77" s="651" t="s">
        <v>1033</v>
      </c>
      <c r="D77" s="1001">
        <v>28524.45</v>
      </c>
      <c r="E77" s="1001">
        <v>38069</v>
      </c>
      <c r="F77" s="1002">
        <v>8669.98</v>
      </c>
      <c r="G77" s="915">
        <f t="shared" si="18"/>
        <v>0.74928288108434682</v>
      </c>
      <c r="H77" s="915">
        <f t="shared" si="12"/>
        <v>0.22774383356536815</v>
      </c>
      <c r="I77" s="651" t="s">
        <v>1033</v>
      </c>
      <c r="J77" s="1001">
        <v>58173.14</v>
      </c>
      <c r="K77" s="1001">
        <v>68252.7</v>
      </c>
      <c r="L77" s="1002">
        <v>17879.04</v>
      </c>
      <c r="M77" s="915">
        <f t="shared" si="19"/>
        <v>0.85231998148058619</v>
      </c>
      <c r="N77" s="915">
        <f t="shared" si="20"/>
        <v>0.26195359304467081</v>
      </c>
      <c r="O77" s="912">
        <f t="shared" si="26"/>
        <v>86697.59</v>
      </c>
      <c r="P77" s="912">
        <f t="shared" si="26"/>
        <v>106321.7</v>
      </c>
      <c r="Q77" s="915">
        <f t="shared" si="21"/>
        <v>0.24970462285685802</v>
      </c>
      <c r="R77" s="962">
        <f t="shared" si="22"/>
        <v>0.81542704828835499</v>
      </c>
      <c r="S77" s="963">
        <f t="shared" si="15"/>
        <v>3.0426382398819216E-2</v>
      </c>
      <c r="T77" s="911">
        <f t="shared" si="23"/>
        <v>86697.59</v>
      </c>
      <c r="U77" s="964">
        <f t="shared" si="24"/>
        <v>3234.9847014925372</v>
      </c>
      <c r="V77" s="985">
        <f>Electricity!X78</f>
        <v>160336.92333333334</v>
      </c>
      <c r="W77" s="984">
        <f t="shared" si="25"/>
        <v>2.0176167998229251E-2</v>
      </c>
    </row>
    <row r="78" spans="1:23">
      <c r="C78" s="651" t="s">
        <v>1034</v>
      </c>
      <c r="D78" s="1001">
        <v>40541.64</v>
      </c>
      <c r="E78" s="1001">
        <v>45677.760000000002</v>
      </c>
      <c r="F78" s="1002">
        <v>12219.6</v>
      </c>
      <c r="G78" s="915">
        <f t="shared" si="18"/>
        <v>0.88755753346924182</v>
      </c>
      <c r="H78" s="915">
        <f t="shared" si="12"/>
        <v>0.26751749647968726</v>
      </c>
      <c r="I78" s="651" t="s">
        <v>1035</v>
      </c>
      <c r="J78" s="1001">
        <v>56296.59</v>
      </c>
      <c r="K78" s="1001">
        <v>53997.88</v>
      </c>
      <c r="L78" s="1002">
        <v>17237.72</v>
      </c>
      <c r="M78" s="915">
        <f t="shared" si="19"/>
        <v>1.0425703749850921</v>
      </c>
      <c r="N78" s="915">
        <f t="shared" si="20"/>
        <v>0.31922956975347927</v>
      </c>
      <c r="O78" s="912">
        <f t="shared" si="26"/>
        <v>96838.23</v>
      </c>
      <c r="P78" s="912">
        <f t="shared" si="26"/>
        <v>99675.64</v>
      </c>
      <c r="Q78" s="915">
        <f t="shared" si="21"/>
        <v>0.29553178690400184</v>
      </c>
      <c r="R78" s="962">
        <f t="shared" si="22"/>
        <v>0.97153356627557141</v>
      </c>
      <c r="S78" s="963">
        <f t="shared" si="15"/>
        <v>3.6251252472969078E-2</v>
      </c>
      <c r="T78" s="911">
        <f t="shared" si="23"/>
        <v>96838.23</v>
      </c>
      <c r="U78" s="964">
        <f t="shared" si="24"/>
        <v>3613.3667910447757</v>
      </c>
      <c r="V78" s="985">
        <f>Electricity!X79</f>
        <v>131074.92462499999</v>
      </c>
      <c r="W78" s="984">
        <f t="shared" si="25"/>
        <v>2.7567185725129888E-2</v>
      </c>
    </row>
    <row r="79" spans="1:23" s="486" customFormat="1">
      <c r="C79" s="651" t="s">
        <v>1036</v>
      </c>
      <c r="D79" s="1001">
        <v>37512.53</v>
      </c>
      <c r="E79" s="1001">
        <v>44575.35</v>
      </c>
      <c r="F79" s="1002">
        <v>11392.3</v>
      </c>
      <c r="G79" s="915">
        <f t="shared" si="18"/>
        <v>0.84155323514004943</v>
      </c>
      <c r="H79" s="915">
        <f t="shared" si="12"/>
        <v>0.25557398876284759</v>
      </c>
      <c r="I79" s="651" t="s">
        <v>1036</v>
      </c>
      <c r="J79" s="1001">
        <v>58173.14</v>
      </c>
      <c r="K79" s="1001">
        <v>62522.13</v>
      </c>
      <c r="L79" s="1002">
        <v>17919.759999999998</v>
      </c>
      <c r="M79" s="915">
        <f t="shared" si="19"/>
        <v>0.93044078952524489</v>
      </c>
      <c r="N79" s="915">
        <f t="shared" si="20"/>
        <v>0.28661467547570757</v>
      </c>
      <c r="O79" s="912">
        <f t="shared" si="26"/>
        <v>95685.67</v>
      </c>
      <c r="P79" s="912">
        <f t="shared" si="26"/>
        <v>107097.48</v>
      </c>
      <c r="Q79" s="915">
        <f t="shared" si="21"/>
        <v>0.27369514203322054</v>
      </c>
      <c r="R79" s="962">
        <f t="shared" si="22"/>
        <v>0.89344464500938769</v>
      </c>
      <c r="S79" s="963">
        <f t="shared" si="15"/>
        <v>3.333748675408163E-2</v>
      </c>
      <c r="T79" s="911">
        <f t="shared" si="23"/>
        <v>95685.67</v>
      </c>
      <c r="U79" s="964">
        <f t="shared" si="24"/>
        <v>3570.360820895522</v>
      </c>
      <c r="V79" s="985">
        <f>Electricity!X80</f>
        <v>157888.54999999999</v>
      </c>
      <c r="W79" s="984">
        <f t="shared" si="25"/>
        <v>2.2613171258432117E-2</v>
      </c>
    </row>
    <row r="80" spans="1:23" s="486" customFormat="1">
      <c r="C80" s="651" t="s">
        <v>1037</v>
      </c>
      <c r="D80" s="1001">
        <v>34825</v>
      </c>
      <c r="E80" s="1001">
        <v>49725</v>
      </c>
      <c r="F80" s="1002">
        <v>10608.32</v>
      </c>
      <c r="G80" s="915">
        <f t="shared" si="18"/>
        <v>0.70035193564605325</v>
      </c>
      <c r="H80" s="915">
        <f t="shared" si="12"/>
        <v>0.213339768728004</v>
      </c>
      <c r="I80" s="651" t="s">
        <v>1037</v>
      </c>
      <c r="J80" s="1001">
        <v>56297</v>
      </c>
      <c r="K80" s="1001">
        <v>69080</v>
      </c>
      <c r="L80" s="1002">
        <v>17395.14</v>
      </c>
      <c r="M80" s="915">
        <f t="shared" si="19"/>
        <v>0.81495367689635201</v>
      </c>
      <c r="N80" s="915">
        <f t="shared" si="20"/>
        <v>0.2518115228720324</v>
      </c>
      <c r="O80" s="912">
        <f t="shared" si="26"/>
        <v>91122</v>
      </c>
      <c r="P80" s="912">
        <f t="shared" si="26"/>
        <v>118805</v>
      </c>
      <c r="Q80" s="915">
        <f t="shared" si="21"/>
        <v>0.23570943983839063</v>
      </c>
      <c r="R80" s="962">
        <f t="shared" si="22"/>
        <v>0.76698792138378014</v>
      </c>
      <c r="S80" s="963">
        <f t="shared" si="15"/>
        <v>2.8618952290439557E-2</v>
      </c>
      <c r="T80" s="911">
        <f t="shared" si="23"/>
        <v>91122</v>
      </c>
      <c r="U80" s="964">
        <f t="shared" si="24"/>
        <v>3400.0746268656717</v>
      </c>
      <c r="V80" s="985">
        <f>Electricity!X81</f>
        <v>176827.69500000001</v>
      </c>
      <c r="W80" s="984">
        <f t="shared" si="25"/>
        <v>1.9228179312441251E-2</v>
      </c>
    </row>
    <row r="81" spans="1:23" s="486" customFormat="1">
      <c r="C81" s="651" t="s">
        <v>1038</v>
      </c>
      <c r="D81" s="1001">
        <v>34795</v>
      </c>
      <c r="E81" s="1001">
        <v>35990</v>
      </c>
      <c r="F81" s="1002">
        <v>10599.35</v>
      </c>
      <c r="G81" s="915">
        <f t="shared" ref="G81" si="27">D81/E81</f>
        <v>0.96679633231453177</v>
      </c>
      <c r="H81" s="915">
        <f t="shared" ref="H81" si="28">F81/E81</f>
        <v>0.29450819672131151</v>
      </c>
      <c r="I81" s="651" t="s">
        <v>1038</v>
      </c>
      <c r="J81" s="1001">
        <v>58173</v>
      </c>
      <c r="K81" s="1001">
        <v>58576</v>
      </c>
      <c r="L81" s="1002">
        <v>17960.68</v>
      </c>
      <c r="M81" s="915">
        <f t="shared" ref="M81" si="29">J81/K81</f>
        <v>0.99312004916689434</v>
      </c>
      <c r="N81" s="915">
        <f t="shared" ref="N81" si="30">L81/K81</f>
        <v>0.30662182463807702</v>
      </c>
      <c r="O81" s="912">
        <f t="shared" ref="O81" si="31">D81+J81</f>
        <v>92968</v>
      </c>
      <c r="P81" s="912">
        <f t="shared" ref="P81" si="32">E81+K81</f>
        <v>94566</v>
      </c>
      <c r="Q81" s="915">
        <f t="shared" ref="Q81" si="33">((F81+L81)/(E81+K81))</f>
        <v>0.30201161093839224</v>
      </c>
      <c r="R81" s="962">
        <f t="shared" ref="R81" si="34">((D81+J81)/(E81+K81))</f>
        <v>0.98310174904299641</v>
      </c>
      <c r="S81" s="963">
        <f t="shared" ref="S81" si="35">R81/26.8</f>
        <v>3.6682901083693896E-2</v>
      </c>
      <c r="T81" s="911">
        <f t="shared" ref="T81" si="36">D81+J81</f>
        <v>92968</v>
      </c>
      <c r="U81" s="964">
        <f t="shared" ref="U81" si="37">T81/26.8</f>
        <v>3468.9552238805968</v>
      </c>
      <c r="V81" s="985">
        <f>Electricity!X82</f>
        <v>155998.29958333331</v>
      </c>
      <c r="W81" s="984">
        <f t="shared" ref="W81" si="38">U81/V81</f>
        <v>2.2237134847918665E-2</v>
      </c>
    </row>
    <row r="82" spans="1:23">
      <c r="A82" s="881" t="s">
        <v>716</v>
      </c>
    </row>
    <row r="83" spans="1:23">
      <c r="A83" t="s">
        <v>240</v>
      </c>
      <c r="C83" s="651" t="s">
        <v>1039</v>
      </c>
      <c r="D83" s="1001">
        <v>34724</v>
      </c>
      <c r="E83" s="1001"/>
      <c r="F83" s="1002">
        <v>10464.65</v>
      </c>
      <c r="G83" s="915" t="e">
        <f t="shared" ref="G83:G94" si="39">D83/E83</f>
        <v>#DIV/0!</v>
      </c>
      <c r="H83" s="915" t="e">
        <f t="shared" ref="H83:H94" si="40">F83/E83</f>
        <v>#DIV/0!</v>
      </c>
      <c r="I83" s="651" t="s">
        <v>1039</v>
      </c>
      <c r="J83" s="1001">
        <v>57548</v>
      </c>
      <c r="K83" s="1001"/>
      <c r="L83" s="1002">
        <v>17758.53</v>
      </c>
      <c r="M83" s="915" t="e">
        <f t="shared" ref="M83:M94" si="41">J83/K83</f>
        <v>#DIV/0!</v>
      </c>
      <c r="N83" s="915" t="e">
        <f t="shared" ref="N83:N94" si="42">L83/K83</f>
        <v>#DIV/0!</v>
      </c>
      <c r="O83" s="912">
        <f t="shared" ref="O83:O94" si="43">D83+J83</f>
        <v>92272</v>
      </c>
      <c r="P83" s="912">
        <f t="shared" ref="P83:P94" si="44">E83+K83</f>
        <v>0</v>
      </c>
      <c r="Q83" s="915" t="e">
        <f t="shared" ref="Q83:Q94" si="45">((F83+L83)/(E83+K83))</f>
        <v>#DIV/0!</v>
      </c>
      <c r="R83" s="962" t="e">
        <f t="shared" ref="R83:R94" si="46">((D83+J83)/(E83+K83))</f>
        <v>#DIV/0!</v>
      </c>
      <c r="S83" s="963" t="e">
        <f t="shared" ref="S83:S94" si="47">R83/26.8</f>
        <v>#DIV/0!</v>
      </c>
      <c r="T83" s="911">
        <f t="shared" ref="T83:T94" si="48">D83+J83</f>
        <v>92272</v>
      </c>
      <c r="U83" s="964">
        <f t="shared" ref="U83:U94" si="49">T83/26.8</f>
        <v>3442.9850746268658</v>
      </c>
      <c r="V83" s="911">
        <f>Electricity!X84</f>
        <v>167055.83333333334</v>
      </c>
      <c r="W83" s="984">
        <f t="shared" ref="W83:W94" si="50">U83/V83</f>
        <v>2.0609786596059394E-2</v>
      </c>
    </row>
    <row r="84" spans="1:23">
      <c r="A84" t="s">
        <v>994</v>
      </c>
      <c r="C84" s="651" t="s">
        <v>1040</v>
      </c>
      <c r="D84" s="1001"/>
      <c r="E84" s="1001"/>
      <c r="F84" s="1002"/>
      <c r="G84" s="915" t="e">
        <f t="shared" si="39"/>
        <v>#DIV/0!</v>
      </c>
      <c r="H84" s="915" t="e">
        <f t="shared" si="40"/>
        <v>#DIV/0!</v>
      </c>
      <c r="I84" s="651" t="s">
        <v>1040</v>
      </c>
      <c r="J84" s="1001"/>
      <c r="K84" s="1001"/>
      <c r="L84" s="1002"/>
      <c r="M84" s="915" t="e">
        <f t="shared" si="41"/>
        <v>#DIV/0!</v>
      </c>
      <c r="N84" s="915" t="e">
        <f t="shared" si="42"/>
        <v>#DIV/0!</v>
      </c>
      <c r="O84" s="912">
        <f t="shared" si="43"/>
        <v>0</v>
      </c>
      <c r="P84" s="912">
        <f t="shared" si="44"/>
        <v>0</v>
      </c>
      <c r="Q84" s="915" t="e">
        <f t="shared" si="45"/>
        <v>#DIV/0!</v>
      </c>
      <c r="R84" s="962" t="e">
        <f t="shared" si="46"/>
        <v>#DIV/0!</v>
      </c>
      <c r="S84" s="963" t="e">
        <f t="shared" si="47"/>
        <v>#DIV/0!</v>
      </c>
      <c r="T84" s="911">
        <f t="shared" si="48"/>
        <v>0</v>
      </c>
      <c r="U84" s="964">
        <f t="shared" si="49"/>
        <v>0</v>
      </c>
      <c r="V84" s="911">
        <f>Electricity!X85</f>
        <v>0</v>
      </c>
      <c r="W84" s="984" t="e">
        <f t="shared" si="50"/>
        <v>#DIV/0!</v>
      </c>
    </row>
    <row r="85" spans="1:23">
      <c r="A85" t="s">
        <v>996</v>
      </c>
      <c r="C85" s="651" t="s">
        <v>1041</v>
      </c>
      <c r="D85" s="1001"/>
      <c r="E85" s="1001"/>
      <c r="F85" s="1002"/>
      <c r="G85" s="915" t="e">
        <f t="shared" si="39"/>
        <v>#DIV/0!</v>
      </c>
      <c r="H85" s="915" t="e">
        <f t="shared" si="40"/>
        <v>#DIV/0!</v>
      </c>
      <c r="I85" s="651" t="s">
        <v>1041</v>
      </c>
      <c r="J85" s="1001"/>
      <c r="K85" s="1001"/>
      <c r="L85" s="1002"/>
      <c r="M85" s="915" t="e">
        <f t="shared" si="41"/>
        <v>#DIV/0!</v>
      </c>
      <c r="N85" s="915" t="e">
        <f t="shared" si="42"/>
        <v>#DIV/0!</v>
      </c>
      <c r="O85" s="912">
        <f t="shared" si="43"/>
        <v>0</v>
      </c>
      <c r="P85" s="912">
        <f t="shared" si="44"/>
        <v>0</v>
      </c>
      <c r="Q85" s="915" t="e">
        <f t="shared" si="45"/>
        <v>#DIV/0!</v>
      </c>
      <c r="R85" s="962" t="e">
        <f t="shared" si="46"/>
        <v>#DIV/0!</v>
      </c>
      <c r="S85" s="963" t="e">
        <f t="shared" si="47"/>
        <v>#DIV/0!</v>
      </c>
      <c r="T85" s="911">
        <f t="shared" si="48"/>
        <v>0</v>
      </c>
      <c r="U85" s="964">
        <f t="shared" si="49"/>
        <v>0</v>
      </c>
      <c r="V85" s="911">
        <f>Electricity!X86</f>
        <v>0</v>
      </c>
      <c r="W85" s="984" t="e">
        <f t="shared" si="50"/>
        <v>#DIV/0!</v>
      </c>
    </row>
    <row r="86" spans="1:23">
      <c r="C86" s="651" t="s">
        <v>1042</v>
      </c>
      <c r="D86" s="1001"/>
      <c r="E86" s="1001"/>
      <c r="F86" s="1002"/>
      <c r="G86" s="915" t="e">
        <f t="shared" si="39"/>
        <v>#DIV/0!</v>
      </c>
      <c r="H86" s="915" t="e">
        <f t="shared" si="40"/>
        <v>#DIV/0!</v>
      </c>
      <c r="I86" s="651" t="s">
        <v>1042</v>
      </c>
      <c r="J86" s="1001"/>
      <c r="K86" s="1001"/>
      <c r="L86" s="1002"/>
      <c r="M86" s="915" t="e">
        <f t="shared" si="41"/>
        <v>#DIV/0!</v>
      </c>
      <c r="N86" s="915" t="e">
        <f t="shared" si="42"/>
        <v>#DIV/0!</v>
      </c>
      <c r="O86" s="912">
        <f t="shared" si="43"/>
        <v>0</v>
      </c>
      <c r="P86" s="912">
        <f t="shared" si="44"/>
        <v>0</v>
      </c>
      <c r="Q86" s="915" t="e">
        <f t="shared" si="45"/>
        <v>#DIV/0!</v>
      </c>
      <c r="R86" s="962" t="e">
        <f t="shared" si="46"/>
        <v>#DIV/0!</v>
      </c>
      <c r="S86" s="963" t="e">
        <f t="shared" si="47"/>
        <v>#DIV/0!</v>
      </c>
      <c r="T86" s="911">
        <f t="shared" si="48"/>
        <v>0</v>
      </c>
      <c r="U86" s="964">
        <f t="shared" si="49"/>
        <v>0</v>
      </c>
      <c r="V86" s="911">
        <f>Electricity!X87</f>
        <v>0</v>
      </c>
      <c r="W86" s="984" t="e">
        <f t="shared" si="50"/>
        <v>#DIV/0!</v>
      </c>
    </row>
    <row r="87" spans="1:23">
      <c r="C87" s="651" t="s">
        <v>1043</v>
      </c>
      <c r="D87" s="1001"/>
      <c r="E87" s="1001"/>
      <c r="F87" s="1002"/>
      <c r="G87" s="915" t="e">
        <f t="shared" si="39"/>
        <v>#DIV/0!</v>
      </c>
      <c r="H87" s="915" t="e">
        <f t="shared" si="40"/>
        <v>#DIV/0!</v>
      </c>
      <c r="I87" s="651" t="s">
        <v>1043</v>
      </c>
      <c r="J87" s="1001"/>
      <c r="K87" s="1001"/>
      <c r="L87" s="1002"/>
      <c r="M87" s="915" t="e">
        <f t="shared" si="41"/>
        <v>#DIV/0!</v>
      </c>
      <c r="N87" s="915" t="e">
        <f t="shared" si="42"/>
        <v>#DIV/0!</v>
      </c>
      <c r="O87" s="912">
        <f t="shared" si="43"/>
        <v>0</v>
      </c>
      <c r="P87" s="912">
        <f t="shared" si="44"/>
        <v>0</v>
      </c>
      <c r="Q87" s="915" t="e">
        <f t="shared" si="45"/>
        <v>#DIV/0!</v>
      </c>
      <c r="R87" s="962" t="e">
        <f t="shared" si="46"/>
        <v>#DIV/0!</v>
      </c>
      <c r="S87" s="963" t="e">
        <f t="shared" si="47"/>
        <v>#DIV/0!</v>
      </c>
      <c r="T87" s="911">
        <f t="shared" si="48"/>
        <v>0</v>
      </c>
      <c r="U87" s="964">
        <f t="shared" si="49"/>
        <v>0</v>
      </c>
      <c r="V87" s="911">
        <f>Electricity!X88</f>
        <v>0</v>
      </c>
      <c r="W87" s="984" t="e">
        <f t="shared" si="50"/>
        <v>#DIV/0!</v>
      </c>
    </row>
    <row r="88" spans="1:23">
      <c r="C88" s="651" t="s">
        <v>1044</v>
      </c>
      <c r="D88" s="1001"/>
      <c r="E88" s="1001"/>
      <c r="F88" s="1002"/>
      <c r="G88" s="915" t="e">
        <f t="shared" si="39"/>
        <v>#DIV/0!</v>
      </c>
      <c r="H88" s="915" t="e">
        <f t="shared" si="40"/>
        <v>#DIV/0!</v>
      </c>
      <c r="I88" s="651" t="s">
        <v>1044</v>
      </c>
      <c r="J88" s="1001"/>
      <c r="K88" s="1001"/>
      <c r="L88" s="1002"/>
      <c r="M88" s="915" t="e">
        <f t="shared" si="41"/>
        <v>#DIV/0!</v>
      </c>
      <c r="N88" s="915" t="e">
        <f t="shared" si="42"/>
        <v>#DIV/0!</v>
      </c>
      <c r="O88" s="912">
        <f t="shared" si="43"/>
        <v>0</v>
      </c>
      <c r="P88" s="912">
        <f t="shared" si="44"/>
        <v>0</v>
      </c>
      <c r="Q88" s="915" t="e">
        <f t="shared" si="45"/>
        <v>#DIV/0!</v>
      </c>
      <c r="R88" s="962" t="e">
        <f t="shared" si="46"/>
        <v>#DIV/0!</v>
      </c>
      <c r="S88" s="963" t="e">
        <f t="shared" si="47"/>
        <v>#DIV/0!</v>
      </c>
      <c r="T88" s="911">
        <f t="shared" si="48"/>
        <v>0</v>
      </c>
      <c r="U88" s="964">
        <f t="shared" si="49"/>
        <v>0</v>
      </c>
      <c r="V88" s="911">
        <f>Electricity!X89</f>
        <v>0</v>
      </c>
      <c r="W88" s="984" t="e">
        <f t="shared" si="50"/>
        <v>#DIV/0!</v>
      </c>
    </row>
    <row r="89" spans="1:23">
      <c r="C89" s="651" t="s">
        <v>1045</v>
      </c>
      <c r="D89" s="1001"/>
      <c r="E89" s="1001"/>
      <c r="F89" s="1002"/>
      <c r="G89" s="915" t="e">
        <f t="shared" si="39"/>
        <v>#DIV/0!</v>
      </c>
      <c r="H89" s="915" t="e">
        <f t="shared" si="40"/>
        <v>#DIV/0!</v>
      </c>
      <c r="I89" s="651" t="s">
        <v>1045</v>
      </c>
      <c r="J89" s="1001"/>
      <c r="K89" s="1001"/>
      <c r="L89" s="1002"/>
      <c r="M89" s="915" t="e">
        <f t="shared" si="41"/>
        <v>#DIV/0!</v>
      </c>
      <c r="N89" s="915" t="e">
        <f t="shared" si="42"/>
        <v>#DIV/0!</v>
      </c>
      <c r="O89" s="912">
        <f t="shared" si="43"/>
        <v>0</v>
      </c>
      <c r="P89" s="912">
        <f t="shared" si="44"/>
        <v>0</v>
      </c>
      <c r="Q89" s="915" t="e">
        <f t="shared" si="45"/>
        <v>#DIV/0!</v>
      </c>
      <c r="R89" s="962" t="e">
        <f t="shared" si="46"/>
        <v>#DIV/0!</v>
      </c>
      <c r="S89" s="963" t="e">
        <f t="shared" si="47"/>
        <v>#DIV/0!</v>
      </c>
      <c r="T89" s="911">
        <f t="shared" si="48"/>
        <v>0</v>
      </c>
      <c r="U89" s="964">
        <f t="shared" si="49"/>
        <v>0</v>
      </c>
      <c r="V89" s="911">
        <f>Electricity!X90</f>
        <v>0</v>
      </c>
      <c r="W89" s="984" t="e">
        <f t="shared" si="50"/>
        <v>#DIV/0!</v>
      </c>
    </row>
    <row r="90" spans="1:23">
      <c r="C90" s="651" t="s">
        <v>1046</v>
      </c>
      <c r="D90" s="1001"/>
      <c r="E90" s="1001"/>
      <c r="F90" s="1002"/>
      <c r="G90" s="915" t="e">
        <f t="shared" si="39"/>
        <v>#DIV/0!</v>
      </c>
      <c r="H90" s="915" t="e">
        <f t="shared" si="40"/>
        <v>#DIV/0!</v>
      </c>
      <c r="I90" s="651" t="s">
        <v>1046</v>
      </c>
      <c r="J90" s="1001"/>
      <c r="K90" s="1001"/>
      <c r="L90" s="1002"/>
      <c r="M90" s="915" t="e">
        <f t="shared" si="41"/>
        <v>#DIV/0!</v>
      </c>
      <c r="N90" s="915" t="e">
        <f t="shared" si="42"/>
        <v>#DIV/0!</v>
      </c>
      <c r="O90" s="912">
        <f t="shared" si="43"/>
        <v>0</v>
      </c>
      <c r="P90" s="912">
        <f t="shared" si="44"/>
        <v>0</v>
      </c>
      <c r="Q90" s="915" t="e">
        <f t="shared" si="45"/>
        <v>#DIV/0!</v>
      </c>
      <c r="R90" s="962" t="e">
        <f t="shared" si="46"/>
        <v>#DIV/0!</v>
      </c>
      <c r="S90" s="963" t="e">
        <f t="shared" si="47"/>
        <v>#DIV/0!</v>
      </c>
      <c r="T90" s="911">
        <f t="shared" si="48"/>
        <v>0</v>
      </c>
      <c r="U90" s="964">
        <f t="shared" si="49"/>
        <v>0</v>
      </c>
      <c r="V90" s="911">
        <f>Electricity!X91</f>
        <v>0</v>
      </c>
      <c r="W90" s="984" t="e">
        <f t="shared" si="50"/>
        <v>#DIV/0!</v>
      </c>
    </row>
    <row r="91" spans="1:23">
      <c r="C91" s="651" t="s">
        <v>1047</v>
      </c>
      <c r="D91" s="1001"/>
      <c r="E91" s="1001"/>
      <c r="F91" s="1002"/>
      <c r="G91" s="915" t="e">
        <f t="shared" si="39"/>
        <v>#DIV/0!</v>
      </c>
      <c r="H91" s="915" t="e">
        <f t="shared" si="40"/>
        <v>#DIV/0!</v>
      </c>
      <c r="I91" s="651" t="s">
        <v>1048</v>
      </c>
      <c r="J91" s="1001"/>
      <c r="K91" s="1001"/>
      <c r="L91" s="1002"/>
      <c r="M91" s="915" t="e">
        <f t="shared" si="41"/>
        <v>#DIV/0!</v>
      </c>
      <c r="N91" s="915" t="e">
        <f t="shared" si="42"/>
        <v>#DIV/0!</v>
      </c>
      <c r="O91" s="912">
        <f t="shared" si="43"/>
        <v>0</v>
      </c>
      <c r="P91" s="912">
        <f t="shared" si="44"/>
        <v>0</v>
      </c>
      <c r="Q91" s="915" t="e">
        <f t="shared" si="45"/>
        <v>#DIV/0!</v>
      </c>
      <c r="R91" s="962" t="e">
        <f t="shared" si="46"/>
        <v>#DIV/0!</v>
      </c>
      <c r="S91" s="963" t="e">
        <f t="shared" si="47"/>
        <v>#DIV/0!</v>
      </c>
      <c r="T91" s="911">
        <f t="shared" si="48"/>
        <v>0</v>
      </c>
      <c r="U91" s="964">
        <f t="shared" si="49"/>
        <v>0</v>
      </c>
      <c r="V91" s="911">
        <f>Electricity!X92</f>
        <v>0</v>
      </c>
      <c r="W91" s="984" t="e">
        <f t="shared" si="50"/>
        <v>#DIV/0!</v>
      </c>
    </row>
    <row r="92" spans="1:23">
      <c r="C92" s="651" t="s">
        <v>1049</v>
      </c>
      <c r="D92" s="1001"/>
      <c r="E92" s="1001"/>
      <c r="F92" s="1002"/>
      <c r="G92" s="915" t="e">
        <f t="shared" si="39"/>
        <v>#DIV/0!</v>
      </c>
      <c r="H92" s="915" t="e">
        <f t="shared" si="40"/>
        <v>#DIV/0!</v>
      </c>
      <c r="I92" s="651" t="s">
        <v>1049</v>
      </c>
      <c r="J92" s="1001"/>
      <c r="K92" s="1001"/>
      <c r="L92" s="1002"/>
      <c r="M92" s="915" t="e">
        <f t="shared" si="41"/>
        <v>#DIV/0!</v>
      </c>
      <c r="N92" s="915" t="e">
        <f t="shared" si="42"/>
        <v>#DIV/0!</v>
      </c>
      <c r="O92" s="912">
        <f t="shared" si="43"/>
        <v>0</v>
      </c>
      <c r="P92" s="912">
        <f t="shared" si="44"/>
        <v>0</v>
      </c>
      <c r="Q92" s="915" t="e">
        <f t="shared" si="45"/>
        <v>#DIV/0!</v>
      </c>
      <c r="R92" s="962" t="e">
        <f t="shared" si="46"/>
        <v>#DIV/0!</v>
      </c>
      <c r="S92" s="963" t="e">
        <f t="shared" si="47"/>
        <v>#DIV/0!</v>
      </c>
      <c r="T92" s="911">
        <f t="shared" si="48"/>
        <v>0</v>
      </c>
      <c r="U92" s="964">
        <f t="shared" si="49"/>
        <v>0</v>
      </c>
      <c r="V92" s="911">
        <f>Electricity!X93</f>
        <v>0</v>
      </c>
      <c r="W92" s="984" t="e">
        <f t="shared" si="50"/>
        <v>#DIV/0!</v>
      </c>
    </row>
    <row r="93" spans="1:23">
      <c r="C93" s="651" t="s">
        <v>1050</v>
      </c>
      <c r="D93" s="1001"/>
      <c r="E93" s="1001"/>
      <c r="F93" s="1002"/>
      <c r="G93" s="915" t="e">
        <f t="shared" si="39"/>
        <v>#DIV/0!</v>
      </c>
      <c r="H93" s="915" t="e">
        <f t="shared" si="40"/>
        <v>#DIV/0!</v>
      </c>
      <c r="I93" s="651" t="s">
        <v>1050</v>
      </c>
      <c r="J93" s="1001"/>
      <c r="K93" s="1001"/>
      <c r="L93" s="1002"/>
      <c r="M93" s="915" t="e">
        <f t="shared" si="41"/>
        <v>#DIV/0!</v>
      </c>
      <c r="N93" s="915" t="e">
        <f t="shared" si="42"/>
        <v>#DIV/0!</v>
      </c>
      <c r="O93" s="912">
        <f t="shared" si="43"/>
        <v>0</v>
      </c>
      <c r="P93" s="912">
        <f t="shared" si="44"/>
        <v>0</v>
      </c>
      <c r="Q93" s="915" t="e">
        <f t="shared" si="45"/>
        <v>#DIV/0!</v>
      </c>
      <c r="R93" s="962" t="e">
        <f t="shared" si="46"/>
        <v>#DIV/0!</v>
      </c>
      <c r="S93" s="963" t="e">
        <f t="shared" si="47"/>
        <v>#DIV/0!</v>
      </c>
      <c r="T93" s="911">
        <f t="shared" si="48"/>
        <v>0</v>
      </c>
      <c r="U93" s="964">
        <f t="shared" si="49"/>
        <v>0</v>
      </c>
      <c r="V93" s="911">
        <f>Electricity!X94</f>
        <v>0</v>
      </c>
      <c r="W93" s="984" t="e">
        <f t="shared" si="50"/>
        <v>#DIV/0!</v>
      </c>
    </row>
    <row r="94" spans="1:23">
      <c r="C94" s="651" t="s">
        <v>1051</v>
      </c>
      <c r="D94" s="1001"/>
      <c r="E94" s="1001"/>
      <c r="F94" s="1002"/>
      <c r="G94" s="915" t="e">
        <f t="shared" si="39"/>
        <v>#DIV/0!</v>
      </c>
      <c r="H94" s="915" t="e">
        <f t="shared" si="40"/>
        <v>#DIV/0!</v>
      </c>
      <c r="I94" s="651" t="s">
        <v>1051</v>
      </c>
      <c r="J94" s="1001"/>
      <c r="K94" s="1001"/>
      <c r="L94" s="1002"/>
      <c r="M94" s="915" t="e">
        <f t="shared" si="41"/>
        <v>#DIV/0!</v>
      </c>
      <c r="N94" s="915" t="e">
        <f t="shared" si="42"/>
        <v>#DIV/0!</v>
      </c>
      <c r="O94" s="912">
        <f t="shared" si="43"/>
        <v>0</v>
      </c>
      <c r="P94" s="912">
        <f t="shared" si="44"/>
        <v>0</v>
      </c>
      <c r="Q94" s="915" t="e">
        <f t="shared" si="45"/>
        <v>#DIV/0!</v>
      </c>
      <c r="R94" s="962" t="e">
        <f t="shared" si="46"/>
        <v>#DIV/0!</v>
      </c>
      <c r="S94" s="963" t="e">
        <f t="shared" si="47"/>
        <v>#DIV/0!</v>
      </c>
      <c r="T94" s="911">
        <f t="shared" si="48"/>
        <v>0</v>
      </c>
      <c r="U94" s="964">
        <f t="shared" si="49"/>
        <v>0</v>
      </c>
      <c r="V94" s="911">
        <f>Electricity!X95</f>
        <v>0</v>
      </c>
      <c r="W94" s="984" t="e">
        <f t="shared" si="50"/>
        <v>#DIV/0!</v>
      </c>
    </row>
  </sheetData>
  <mergeCells count="5">
    <mergeCell ref="C2:S2"/>
    <mergeCell ref="C3:H3"/>
    <mergeCell ref="I3:N3"/>
    <mergeCell ref="O3:S3"/>
    <mergeCell ref="D1:L1"/>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E746B-E7C2-4A56-9D93-E8DCDB9A1FF2}">
  <sheetPr>
    <pageSetUpPr fitToPage="1"/>
  </sheetPr>
  <dimension ref="A1:AC82"/>
  <sheetViews>
    <sheetView showGridLines="0" workbookViewId="0">
      <pane xSplit="3" ySplit="5" topLeftCell="D67" activePane="bottomRight" state="frozen"/>
      <selection pane="topRight" activeCell="U86" sqref="U86"/>
      <selection pane="bottomLeft" activeCell="U86" sqref="U86"/>
      <selection pane="bottomRight" activeCell="P71" sqref="P71"/>
    </sheetView>
  </sheetViews>
  <sheetFormatPr defaultRowHeight="15"/>
  <cols>
    <col min="1" max="1" width="24.42578125" customWidth="1"/>
    <col min="2" max="2" width="1.5703125" customWidth="1"/>
    <col min="3" max="3" width="8" bestFit="1" customWidth="1"/>
    <col min="4" max="4" width="11.140625" bestFit="1" customWidth="1"/>
    <col min="5" max="5" width="11.7109375" bestFit="1" customWidth="1"/>
    <col min="6" max="6" width="11.5703125" bestFit="1" customWidth="1"/>
    <col min="9" max="9" width="11.140625" bestFit="1" customWidth="1"/>
    <col min="10" max="10" width="11.7109375" bestFit="1" customWidth="1"/>
    <col min="11" max="11" width="11.5703125" bestFit="1" customWidth="1"/>
    <col min="14" max="14" width="11.140625" bestFit="1" customWidth="1"/>
    <col min="15" max="15" width="11.7109375" bestFit="1" customWidth="1"/>
    <col min="16" max="16" width="11.5703125" bestFit="1" customWidth="1"/>
    <col min="19" max="19" width="10.28515625" style="665" bestFit="1" customWidth="1"/>
    <col min="20" max="20" width="9.5703125" style="665" bestFit="1" customWidth="1"/>
    <col min="21" max="21" width="8.5703125" style="665" bestFit="1" customWidth="1"/>
    <col min="22" max="22" width="9.5703125" style="917" bestFit="1" customWidth="1"/>
    <col min="23" max="23" width="9.85546875" style="665" bestFit="1" customWidth="1"/>
    <col min="24" max="24" width="11.85546875" style="956" customWidth="1"/>
    <col min="25" max="25" width="11.28515625" customWidth="1"/>
    <col min="26" max="26" width="8.5703125" customWidth="1"/>
  </cols>
  <sheetData>
    <row r="1" spans="1:26" ht="18.75">
      <c r="D1" s="2057" t="s">
        <v>715</v>
      </c>
      <c r="E1" s="2057"/>
      <c r="F1" s="2057"/>
      <c r="G1" s="2057"/>
      <c r="H1" s="2057"/>
      <c r="I1" s="2057"/>
      <c r="J1" s="2057"/>
      <c r="K1" s="2057"/>
      <c r="L1" s="2057"/>
    </row>
    <row r="3" spans="1:26" ht="18.75">
      <c r="C3" s="2120" t="s">
        <v>1052</v>
      </c>
      <c r="D3" s="2121"/>
      <c r="E3" s="2121"/>
      <c r="F3" s="2121"/>
      <c r="G3" s="2121"/>
      <c r="H3" s="2121"/>
      <c r="I3" s="2121"/>
      <c r="J3" s="2121"/>
      <c r="K3" s="2121"/>
      <c r="L3" s="2121"/>
      <c r="M3" s="2121"/>
      <c r="N3" s="2121"/>
      <c r="O3" s="2121"/>
      <c r="P3" s="2121"/>
      <c r="Q3" s="2121"/>
      <c r="R3" s="2121"/>
      <c r="S3" s="2121"/>
      <c r="T3" s="2121"/>
      <c r="U3" s="2121"/>
      <c r="V3" s="2121"/>
    </row>
    <row r="4" spans="1:26" ht="15.75">
      <c r="C4" s="2117" t="s">
        <v>894</v>
      </c>
      <c r="D4" s="2118"/>
      <c r="E4" s="2118"/>
      <c r="F4" s="2118"/>
      <c r="G4" s="2118"/>
      <c r="H4" s="2119"/>
      <c r="I4" s="2117" t="s">
        <v>895</v>
      </c>
      <c r="J4" s="2118"/>
      <c r="K4" s="2118"/>
      <c r="L4" s="2118"/>
      <c r="M4" s="2119"/>
      <c r="N4" s="2117" t="s">
        <v>896</v>
      </c>
      <c r="O4" s="2118"/>
      <c r="P4" s="2118"/>
      <c r="Q4" s="2118"/>
      <c r="R4" s="2119"/>
      <c r="S4" s="2117" t="s">
        <v>897</v>
      </c>
      <c r="T4" s="2118"/>
      <c r="U4" s="2118"/>
      <c r="V4" s="2119"/>
    </row>
    <row r="5" spans="1:26" ht="30">
      <c r="A5" s="880" t="s">
        <v>338</v>
      </c>
      <c r="C5" s="958" t="s">
        <v>121</v>
      </c>
      <c r="D5" s="959" t="s">
        <v>1053</v>
      </c>
      <c r="E5" s="959" t="s">
        <v>899</v>
      </c>
      <c r="F5" s="960" t="s">
        <v>900</v>
      </c>
      <c r="G5" s="960" t="s">
        <v>989</v>
      </c>
      <c r="H5" s="960" t="s">
        <v>901</v>
      </c>
      <c r="I5" s="959" t="s">
        <v>1053</v>
      </c>
      <c r="J5" s="959" t="s">
        <v>899</v>
      </c>
      <c r="K5" s="960" t="s">
        <v>900</v>
      </c>
      <c r="L5" s="960" t="s">
        <v>989</v>
      </c>
      <c r="M5" s="960" t="s">
        <v>901</v>
      </c>
      <c r="N5" s="959" t="s">
        <v>1053</v>
      </c>
      <c r="O5" s="959" t="s">
        <v>899</v>
      </c>
      <c r="P5" s="960" t="s">
        <v>900</v>
      </c>
      <c r="Q5" s="960" t="s">
        <v>989</v>
      </c>
      <c r="R5" s="960" t="s">
        <v>901</v>
      </c>
      <c r="S5" s="960" t="s">
        <v>990</v>
      </c>
      <c r="T5" s="960" t="s">
        <v>903</v>
      </c>
      <c r="U5" s="960" t="s">
        <v>901</v>
      </c>
      <c r="V5" s="960" t="s">
        <v>989</v>
      </c>
      <c r="W5" s="906" t="s">
        <v>990</v>
      </c>
      <c r="X5" s="989" t="s">
        <v>1054</v>
      </c>
      <c r="Y5" s="990" t="s">
        <v>1055</v>
      </c>
      <c r="Z5" s="991" t="s">
        <v>60</v>
      </c>
    </row>
    <row r="6" spans="1:26" hidden="1">
      <c r="C6" s="651" t="s">
        <v>917</v>
      </c>
      <c r="D6" s="912">
        <f>535</f>
        <v>535</v>
      </c>
      <c r="E6" s="913">
        <v>63139</v>
      </c>
      <c r="F6" s="916">
        <v>251.08</v>
      </c>
      <c r="G6" s="992">
        <f>D6/E6</f>
        <v>8.4733682826779004E-3</v>
      </c>
      <c r="H6" s="992">
        <f t="shared" ref="H6:H17" si="0">F6/E6</f>
        <v>3.9766230063827427E-3</v>
      </c>
      <c r="I6" s="912">
        <f>3909</f>
        <v>3909</v>
      </c>
      <c r="J6" s="912">
        <v>78688</v>
      </c>
      <c r="K6" s="916">
        <v>1834.54</v>
      </c>
      <c r="L6" s="915">
        <f>I6/J6</f>
        <v>4.9677206181374542E-2</v>
      </c>
      <c r="M6" s="992">
        <f>K6/J6</f>
        <v>2.3314101260675072E-2</v>
      </c>
      <c r="N6" s="912">
        <f>990</f>
        <v>990</v>
      </c>
      <c r="O6" s="912">
        <v>160236</v>
      </c>
      <c r="P6" s="916">
        <v>464.62</v>
      </c>
      <c r="Q6" s="992">
        <f>N6/O6</f>
        <v>6.1783868793529543E-3</v>
      </c>
      <c r="R6" s="992">
        <f>P6/O6</f>
        <v>2.8995980928131007E-3</v>
      </c>
      <c r="S6" s="915"/>
      <c r="T6" s="915"/>
      <c r="U6" s="992">
        <f>((F6+K6+P6)/(E6+J6+O6))</f>
        <v>8.4427420769839397E-3</v>
      </c>
      <c r="V6" s="992">
        <f>((D6+I6+N6)/(E6+J6+O6))</f>
        <v>1.798962468094404E-2</v>
      </c>
      <c r="W6" s="988">
        <f>N6+I6+D6</f>
        <v>5434</v>
      </c>
      <c r="X6" s="956">
        <f>W6*1000</f>
        <v>5434000</v>
      </c>
    </row>
    <row r="7" spans="1:26" hidden="1">
      <c r="C7" s="651" t="s">
        <v>918</v>
      </c>
      <c r="D7" s="912">
        <f>234</f>
        <v>234</v>
      </c>
      <c r="E7" s="913">
        <v>43693.93</v>
      </c>
      <c r="F7" s="916">
        <v>109.49</v>
      </c>
      <c r="G7" s="992">
        <f t="shared" ref="G7:G17" si="1">D7/E7</f>
        <v>5.355434954008486E-3</v>
      </c>
      <c r="H7" s="992">
        <f t="shared" si="0"/>
        <v>2.5058400560443979E-3</v>
      </c>
      <c r="I7" s="912">
        <f>3462</f>
        <v>3462</v>
      </c>
      <c r="J7" s="912">
        <v>63727</v>
      </c>
      <c r="K7" s="916">
        <v>1619.87</v>
      </c>
      <c r="L7" s="992">
        <f t="shared" ref="L7:L17" si="2">I7/J7</f>
        <v>5.4325482134730964E-2</v>
      </c>
      <c r="M7" s="992">
        <f t="shared" ref="M7:M17" si="3">K7/J7</f>
        <v>2.54188962292278E-2</v>
      </c>
      <c r="N7" s="912">
        <f>899</f>
        <v>899</v>
      </c>
      <c r="O7" s="912">
        <v>129992</v>
      </c>
      <c r="P7" s="916">
        <v>420.64</v>
      </c>
      <c r="Q7" s="992">
        <f t="shared" ref="Q7:Q17" si="4">N7/O7</f>
        <v>6.9158102037048435E-3</v>
      </c>
      <c r="R7" s="992">
        <f t="shared" ref="R7:R17" si="5">P7/O7</f>
        <v>3.2358914394731981E-3</v>
      </c>
      <c r="S7" s="915"/>
      <c r="T7" s="915"/>
      <c r="U7" s="992">
        <f t="shared" ref="U7:U56" si="6">((F7+K7+P7)/(E7+J7+O7))</f>
        <v>9.0559515861246484E-3</v>
      </c>
      <c r="V7" s="992">
        <f t="shared" ref="V7:V56" si="7">((D7+I7+N7)/(E7+J7+O7))</f>
        <v>1.9354463971275701E-2</v>
      </c>
      <c r="W7" s="988">
        <f t="shared" ref="W7:W56" si="8">N7+I7+D7</f>
        <v>4595</v>
      </c>
      <c r="X7" s="956">
        <f t="shared" ref="X7:X68" si="9">W7*1000</f>
        <v>4595000</v>
      </c>
    </row>
    <row r="8" spans="1:26" hidden="1">
      <c r="C8" s="651" t="s">
        <v>919</v>
      </c>
      <c r="D8" s="912">
        <f>717</f>
        <v>717</v>
      </c>
      <c r="E8" s="913">
        <v>71703.56</v>
      </c>
      <c r="F8" s="916">
        <v>335.09</v>
      </c>
      <c r="G8" s="992">
        <f t="shared" si="1"/>
        <v>9.9995035114016657E-3</v>
      </c>
      <c r="H8" s="992">
        <f t="shared" si="0"/>
        <v>4.6732686633690155E-3</v>
      </c>
      <c r="I8" s="912">
        <f>1873</f>
        <v>1873</v>
      </c>
      <c r="J8" s="912">
        <v>56384</v>
      </c>
      <c r="K8" s="916">
        <v>875.32</v>
      </c>
      <c r="L8" s="992">
        <f t="shared" si="2"/>
        <v>3.3218643586833144E-2</v>
      </c>
      <c r="M8" s="992">
        <f t="shared" si="3"/>
        <v>1.5524262202043134E-2</v>
      </c>
      <c r="N8" s="912">
        <f>971</f>
        <v>971</v>
      </c>
      <c r="O8" s="912">
        <v>132547</v>
      </c>
      <c r="P8" s="916">
        <v>453.78</v>
      </c>
      <c r="Q8" s="992">
        <f t="shared" si="4"/>
        <v>7.3257033354206429E-3</v>
      </c>
      <c r="R8" s="992">
        <f t="shared" si="5"/>
        <v>3.4235403290908129E-3</v>
      </c>
      <c r="S8" s="915"/>
      <c r="T8" s="915"/>
      <c r="U8" s="992">
        <f t="shared" si="6"/>
        <v>6.3851470810317714E-3</v>
      </c>
      <c r="V8" s="992">
        <f t="shared" si="7"/>
        <v>1.366280818629732E-2</v>
      </c>
      <c r="W8" s="988">
        <f t="shared" si="8"/>
        <v>3561</v>
      </c>
      <c r="X8" s="956">
        <f t="shared" si="9"/>
        <v>3561000</v>
      </c>
    </row>
    <row r="9" spans="1:26" hidden="1">
      <c r="C9" s="651" t="s">
        <v>920</v>
      </c>
      <c r="D9" s="912">
        <f>468</f>
        <v>468</v>
      </c>
      <c r="E9" s="913">
        <v>75819</v>
      </c>
      <c r="F9" s="916">
        <v>219.66</v>
      </c>
      <c r="G9" s="992">
        <f t="shared" si="1"/>
        <v>6.1725952597633839E-3</v>
      </c>
      <c r="H9" s="992">
        <f t="shared" si="0"/>
        <v>2.8971629802556089E-3</v>
      </c>
      <c r="I9" s="912">
        <f>876</f>
        <v>876</v>
      </c>
      <c r="J9" s="912">
        <v>52652</v>
      </c>
      <c r="K9" s="916">
        <v>415.78</v>
      </c>
      <c r="L9" s="992">
        <f t="shared" si="2"/>
        <v>1.6637544632682518E-2</v>
      </c>
      <c r="M9" s="992">
        <f t="shared" si="3"/>
        <v>7.896756058649243E-3</v>
      </c>
      <c r="N9" s="912">
        <f>637</f>
        <v>637</v>
      </c>
      <c r="O9" s="912">
        <v>141485.5</v>
      </c>
      <c r="P9" s="916">
        <v>299.57</v>
      </c>
      <c r="Q9" s="992">
        <f t="shared" si="4"/>
        <v>4.5022281435200071E-3</v>
      </c>
      <c r="R9" s="992">
        <f t="shared" si="5"/>
        <v>2.1173194426283965E-3</v>
      </c>
      <c r="S9" s="915"/>
      <c r="T9" s="915"/>
      <c r="U9" s="992">
        <f t="shared" si="6"/>
        <v>3.4635580176806263E-3</v>
      </c>
      <c r="V9" s="992">
        <f t="shared" si="7"/>
        <v>7.338219305702956E-3</v>
      </c>
      <c r="W9" s="988">
        <f t="shared" si="8"/>
        <v>1981</v>
      </c>
      <c r="X9" s="956">
        <f t="shared" si="9"/>
        <v>1981000</v>
      </c>
    </row>
    <row r="10" spans="1:26" hidden="1">
      <c r="C10" s="651" t="s">
        <v>921</v>
      </c>
      <c r="D10" s="912">
        <f>390</f>
        <v>390</v>
      </c>
      <c r="E10" s="913">
        <v>73633.759999999995</v>
      </c>
      <c r="F10" s="916">
        <v>182.1</v>
      </c>
      <c r="G10" s="992">
        <f t="shared" si="1"/>
        <v>5.2964835694931239E-3</v>
      </c>
      <c r="H10" s="992">
        <f t="shared" si="0"/>
        <v>2.4730504051402508E-3</v>
      </c>
      <c r="I10" s="912">
        <f>982</f>
        <v>982</v>
      </c>
      <c r="J10" s="912">
        <v>57474</v>
      </c>
      <c r="K10" s="916">
        <v>458.53</v>
      </c>
      <c r="L10" s="992">
        <f t="shared" si="2"/>
        <v>1.7085986707032746E-2</v>
      </c>
      <c r="M10" s="992">
        <f t="shared" si="3"/>
        <v>7.9780422451891288E-3</v>
      </c>
      <c r="N10" s="912">
        <f>572</f>
        <v>572</v>
      </c>
      <c r="O10" s="912">
        <v>102618.5</v>
      </c>
      <c r="P10" s="916">
        <v>267.08999999999997</v>
      </c>
      <c r="Q10" s="992">
        <f t="shared" si="4"/>
        <v>5.5740436665903323E-3</v>
      </c>
      <c r="R10" s="992">
        <f t="shared" si="5"/>
        <v>2.6027470680237965E-3</v>
      </c>
      <c r="S10" s="915"/>
      <c r="T10" s="915"/>
      <c r="U10" s="992">
        <f t="shared" si="6"/>
        <v>3.8836885508714341E-3</v>
      </c>
      <c r="V10" s="992">
        <f t="shared" si="7"/>
        <v>8.3174222699665835E-3</v>
      </c>
      <c r="W10" s="988">
        <f t="shared" si="8"/>
        <v>1944</v>
      </c>
      <c r="X10" s="956">
        <f t="shared" si="9"/>
        <v>1944000</v>
      </c>
    </row>
    <row r="11" spans="1:26" hidden="1">
      <c r="C11" s="651" t="s">
        <v>922</v>
      </c>
      <c r="D11" s="912">
        <f>426</f>
        <v>426</v>
      </c>
      <c r="E11" s="913">
        <v>58818.2</v>
      </c>
      <c r="F11" s="914">
        <v>198.91</v>
      </c>
      <c r="G11" s="992">
        <f t="shared" si="1"/>
        <v>7.2426561846503298E-3</v>
      </c>
      <c r="H11" s="992">
        <f t="shared" si="0"/>
        <v>3.3817763889408383E-3</v>
      </c>
      <c r="I11" s="912">
        <f>538</f>
        <v>538</v>
      </c>
      <c r="J11" s="912">
        <v>46425</v>
      </c>
      <c r="K11" s="916">
        <v>251.21</v>
      </c>
      <c r="L11" s="992">
        <f t="shared" si="2"/>
        <v>1.1588583737210554E-2</v>
      </c>
      <c r="M11" s="992">
        <f t="shared" si="3"/>
        <v>5.4110931610123853E-3</v>
      </c>
      <c r="N11" s="912">
        <f>1674</f>
        <v>1674</v>
      </c>
      <c r="O11" s="912">
        <v>90394</v>
      </c>
      <c r="P11" s="914">
        <v>781.66</v>
      </c>
      <c r="Q11" s="992">
        <f t="shared" si="4"/>
        <v>1.8518928247450051E-2</v>
      </c>
      <c r="R11" s="992">
        <f t="shared" si="5"/>
        <v>8.6472553488063358E-3</v>
      </c>
      <c r="S11" s="915"/>
      <c r="T11" s="915"/>
      <c r="U11" s="992">
        <f t="shared" si="6"/>
        <v>6.2962463171625845E-3</v>
      </c>
      <c r="V11" s="992">
        <f t="shared" si="7"/>
        <v>1.3484143097529508E-2</v>
      </c>
      <c r="W11" s="988">
        <f t="shared" si="8"/>
        <v>2638</v>
      </c>
      <c r="X11" s="956">
        <f t="shared" si="9"/>
        <v>2638000</v>
      </c>
    </row>
    <row r="12" spans="1:26" hidden="1">
      <c r="C12" s="651" t="s">
        <v>923</v>
      </c>
      <c r="D12" s="912">
        <f>440</f>
        <v>440</v>
      </c>
      <c r="E12" s="913">
        <v>52466.21</v>
      </c>
      <c r="F12" s="914">
        <v>205.45</v>
      </c>
      <c r="G12" s="992">
        <f t="shared" si="1"/>
        <v>8.3863499955495174E-3</v>
      </c>
      <c r="H12" s="992">
        <f t="shared" si="0"/>
        <v>3.9158536513310182E-3</v>
      </c>
      <c r="I12" s="912">
        <f>506</f>
        <v>506</v>
      </c>
      <c r="J12" s="912">
        <v>51047</v>
      </c>
      <c r="K12" s="914">
        <v>236.27</v>
      </c>
      <c r="L12" s="992">
        <f t="shared" si="2"/>
        <v>9.9124336395870465E-3</v>
      </c>
      <c r="M12" s="992">
        <f t="shared" si="3"/>
        <v>4.6284796364135013E-3</v>
      </c>
      <c r="N12" s="912">
        <f>625</f>
        <v>625</v>
      </c>
      <c r="O12" s="912">
        <v>146740.5</v>
      </c>
      <c r="P12" s="914">
        <v>291.83</v>
      </c>
      <c r="Q12" s="992">
        <f t="shared" si="4"/>
        <v>4.2592195065438649E-3</v>
      </c>
      <c r="R12" s="992">
        <f t="shared" si="5"/>
        <v>1.9887488457515138E-3</v>
      </c>
      <c r="S12" s="915"/>
      <c r="T12" s="915"/>
      <c r="U12" s="992">
        <f t="shared" si="6"/>
        <v>2.9312252753415724E-3</v>
      </c>
      <c r="V12" s="992">
        <f t="shared" si="7"/>
        <v>6.2776292107717402E-3</v>
      </c>
      <c r="W12" s="988">
        <f t="shared" si="8"/>
        <v>1571</v>
      </c>
      <c r="X12" s="956">
        <f t="shared" si="9"/>
        <v>1571000</v>
      </c>
    </row>
    <row r="13" spans="1:26" hidden="1">
      <c r="C13" s="651" t="s">
        <v>924</v>
      </c>
      <c r="D13" s="912">
        <f>397</f>
        <v>397</v>
      </c>
      <c r="E13" s="913">
        <v>50705.1</v>
      </c>
      <c r="F13" s="914">
        <v>201.82</v>
      </c>
      <c r="G13" s="992">
        <f t="shared" si="1"/>
        <v>7.8295871618436798E-3</v>
      </c>
      <c r="H13" s="992">
        <f t="shared" si="0"/>
        <v>3.9802702292274349E-3</v>
      </c>
      <c r="I13" s="912">
        <f>544</f>
        <v>544</v>
      </c>
      <c r="J13" s="912">
        <v>44338</v>
      </c>
      <c r="K13" s="914">
        <v>274.64</v>
      </c>
      <c r="L13" s="992">
        <f t="shared" si="2"/>
        <v>1.2269385177500113E-2</v>
      </c>
      <c r="M13" s="992">
        <f t="shared" si="3"/>
        <v>6.1942351932879241E-3</v>
      </c>
      <c r="N13" s="912">
        <f>1449</f>
        <v>1449</v>
      </c>
      <c r="O13" s="912">
        <v>130878</v>
      </c>
      <c r="P13" s="914">
        <v>717.33</v>
      </c>
      <c r="Q13" s="992">
        <f t="shared" si="4"/>
        <v>1.1071379452619998E-2</v>
      </c>
      <c r="R13" s="992">
        <f t="shared" si="5"/>
        <v>5.4809058818135973E-3</v>
      </c>
      <c r="S13" s="915"/>
      <c r="T13" s="915"/>
      <c r="U13" s="992">
        <f t="shared" si="6"/>
        <v>5.2841013964609763E-3</v>
      </c>
      <c r="V13" s="992">
        <f t="shared" si="7"/>
        <v>1.0578914497140816E-2</v>
      </c>
      <c r="W13" s="988">
        <f t="shared" si="8"/>
        <v>2390</v>
      </c>
      <c r="X13" s="956">
        <f t="shared" si="9"/>
        <v>2390000</v>
      </c>
    </row>
    <row r="14" spans="1:26" hidden="1">
      <c r="C14" s="651" t="s">
        <v>925</v>
      </c>
      <c r="D14" s="912">
        <f>388</f>
        <v>388</v>
      </c>
      <c r="E14" s="913">
        <v>63709.09</v>
      </c>
      <c r="F14" s="914">
        <v>188.8</v>
      </c>
      <c r="G14" s="992">
        <f t="shared" si="1"/>
        <v>6.0901827353051193E-3</v>
      </c>
      <c r="H14" s="992">
        <f t="shared" si="0"/>
        <v>2.9634703619216664E-3</v>
      </c>
      <c r="I14" s="912">
        <f>728</f>
        <v>728</v>
      </c>
      <c r="J14" s="912">
        <v>49605</v>
      </c>
      <c r="K14" s="914">
        <v>354.23</v>
      </c>
      <c r="L14" s="992">
        <f t="shared" si="2"/>
        <v>1.4675939925410745E-2</v>
      </c>
      <c r="M14" s="992">
        <f t="shared" si="3"/>
        <v>7.1410140106844076E-3</v>
      </c>
      <c r="N14" s="912">
        <f>946</f>
        <v>946</v>
      </c>
      <c r="O14" s="912">
        <v>150603</v>
      </c>
      <c r="P14" s="914">
        <v>460.31</v>
      </c>
      <c r="Q14" s="992">
        <f t="shared" si="4"/>
        <v>6.2814153768517228E-3</v>
      </c>
      <c r="R14" s="992">
        <f t="shared" si="5"/>
        <v>3.0564464187300385E-3</v>
      </c>
      <c r="S14" s="915"/>
      <c r="T14" s="915"/>
      <c r="U14" s="992">
        <f t="shared" si="6"/>
        <v>3.8017242460501519E-3</v>
      </c>
      <c r="V14" s="992">
        <f t="shared" si="7"/>
        <v>7.8130597757045603E-3</v>
      </c>
      <c r="W14" s="988">
        <f t="shared" si="8"/>
        <v>2062</v>
      </c>
      <c r="X14" s="956">
        <f t="shared" si="9"/>
        <v>2062000</v>
      </c>
    </row>
    <row r="15" spans="1:26" hidden="1">
      <c r="C15" s="651" t="s">
        <v>926</v>
      </c>
      <c r="D15" s="912">
        <f>462</f>
        <v>462</v>
      </c>
      <c r="E15" s="913">
        <v>42589.71</v>
      </c>
      <c r="F15" s="914">
        <v>224.13</v>
      </c>
      <c r="G15" s="992">
        <f t="shared" si="1"/>
        <v>1.0847690674578437E-2</v>
      </c>
      <c r="H15" s="992">
        <f t="shared" si="0"/>
        <v>5.2625387681672405E-3</v>
      </c>
      <c r="I15" s="912">
        <f>1225</f>
        <v>1225</v>
      </c>
      <c r="J15" s="912">
        <v>53428</v>
      </c>
      <c r="K15" s="914">
        <v>594.29</v>
      </c>
      <c r="L15" s="992">
        <f t="shared" si="2"/>
        <v>2.2928052706446059E-2</v>
      </c>
      <c r="M15" s="992">
        <f t="shared" si="3"/>
        <v>1.1123193830950062E-2</v>
      </c>
      <c r="N15" s="912">
        <f>976</f>
        <v>976</v>
      </c>
      <c r="O15" s="912">
        <v>117654</v>
      </c>
      <c r="P15" s="914">
        <v>473.49</v>
      </c>
      <c r="Q15" s="992">
        <f t="shared" si="4"/>
        <v>8.2955105648766722E-3</v>
      </c>
      <c r="R15" s="992">
        <f t="shared" si="5"/>
        <v>4.0244275587740328E-3</v>
      </c>
      <c r="S15" s="915"/>
      <c r="T15" s="915"/>
      <c r="U15" s="992">
        <f t="shared" si="6"/>
        <v>6.0462379413727717E-3</v>
      </c>
      <c r="V15" s="992">
        <f t="shared" si="7"/>
        <v>1.2463044359030964E-2</v>
      </c>
      <c r="W15" s="988">
        <f t="shared" si="8"/>
        <v>2663</v>
      </c>
      <c r="X15" s="956">
        <f t="shared" si="9"/>
        <v>2663000</v>
      </c>
    </row>
    <row r="16" spans="1:26" hidden="1">
      <c r="C16" s="651" t="s">
        <v>927</v>
      </c>
      <c r="D16" s="912">
        <f>940</f>
        <v>940</v>
      </c>
      <c r="E16" s="913">
        <v>41628.550000000003</v>
      </c>
      <c r="F16" s="914">
        <v>455.48</v>
      </c>
      <c r="G16" s="992">
        <f t="shared" si="1"/>
        <v>2.2580656784826757E-2</v>
      </c>
      <c r="H16" s="992">
        <f t="shared" si="0"/>
        <v>1.0941529311013715E-2</v>
      </c>
      <c r="I16" s="912">
        <f>777</f>
        <v>777</v>
      </c>
      <c r="J16" s="912">
        <v>71101</v>
      </c>
      <c r="K16" s="914">
        <v>376.5</v>
      </c>
      <c r="L16" s="992">
        <f t="shared" si="2"/>
        <v>1.0928116341542313E-2</v>
      </c>
      <c r="M16" s="992">
        <f t="shared" si="3"/>
        <v>5.2952841732183797E-3</v>
      </c>
      <c r="N16" s="912">
        <f>403</f>
        <v>403</v>
      </c>
      <c r="O16" s="912">
        <v>111737.07</v>
      </c>
      <c r="P16" s="914">
        <v>195.28</v>
      </c>
      <c r="Q16" s="992">
        <f t="shared" si="4"/>
        <v>3.6066812920725411E-3</v>
      </c>
      <c r="R16" s="992">
        <f t="shared" si="5"/>
        <v>1.7476742499154486E-3</v>
      </c>
      <c r="S16" s="915"/>
      <c r="T16" s="915"/>
      <c r="U16" s="992">
        <f t="shared" si="6"/>
        <v>4.5764488278925396E-3</v>
      </c>
      <c r="V16" s="992">
        <f t="shared" si="7"/>
        <v>9.4446114081461197E-3</v>
      </c>
      <c r="W16" s="988">
        <f t="shared" si="8"/>
        <v>2120</v>
      </c>
      <c r="X16" s="956">
        <f t="shared" si="9"/>
        <v>2120000</v>
      </c>
    </row>
    <row r="17" spans="3:29" hidden="1">
      <c r="C17" s="651" t="s">
        <v>928</v>
      </c>
      <c r="D17" s="912">
        <f>356</f>
        <v>356</v>
      </c>
      <c r="E17" s="913">
        <v>43309.15</v>
      </c>
      <c r="F17" s="914">
        <v>172.3</v>
      </c>
      <c r="G17" s="992">
        <f t="shared" si="1"/>
        <v>8.219971992061724E-3</v>
      </c>
      <c r="H17" s="992">
        <f t="shared" si="0"/>
        <v>3.9783740849220085E-3</v>
      </c>
      <c r="I17" s="912">
        <f>521</f>
        <v>521</v>
      </c>
      <c r="J17" s="912">
        <v>79333</v>
      </c>
      <c r="K17" s="914">
        <v>252.15</v>
      </c>
      <c r="L17" s="992">
        <f t="shared" si="2"/>
        <v>6.5672544842625387E-3</v>
      </c>
      <c r="M17" s="992">
        <f t="shared" si="3"/>
        <v>3.1783746990533576E-3</v>
      </c>
      <c r="N17" s="912">
        <f>1801</f>
        <v>1801</v>
      </c>
      <c r="O17" s="912">
        <v>109447.7</v>
      </c>
      <c r="P17" s="914">
        <v>871.64</v>
      </c>
      <c r="Q17" s="992">
        <f t="shared" si="4"/>
        <v>1.6455348079493677E-2</v>
      </c>
      <c r="R17" s="992">
        <f t="shared" si="5"/>
        <v>7.9639864519766065E-3</v>
      </c>
      <c r="S17" s="915"/>
      <c r="T17" s="915"/>
      <c r="U17" s="992">
        <f t="shared" si="6"/>
        <v>5.5844320637029165E-3</v>
      </c>
      <c r="V17" s="992">
        <f t="shared" si="7"/>
        <v>1.1538634714098873E-2</v>
      </c>
      <c r="W17" s="988">
        <f t="shared" si="8"/>
        <v>2678</v>
      </c>
      <c r="X17" s="956">
        <f t="shared" si="9"/>
        <v>2678000</v>
      </c>
    </row>
    <row r="18" spans="3:29" hidden="1">
      <c r="C18" s="651"/>
      <c r="D18" s="912"/>
      <c r="E18" s="913"/>
      <c r="F18" s="914"/>
      <c r="G18" s="992"/>
      <c r="H18" s="992"/>
      <c r="I18" s="912"/>
      <c r="J18" s="912"/>
      <c r="K18" s="914"/>
      <c r="L18" s="992"/>
      <c r="M18" s="992"/>
      <c r="N18" s="912"/>
      <c r="O18" s="912"/>
      <c r="P18" s="914"/>
      <c r="Q18" s="992"/>
      <c r="R18" s="992"/>
      <c r="S18" s="915"/>
      <c r="T18" s="915"/>
      <c r="U18" s="992"/>
      <c r="V18" s="992"/>
      <c r="W18" s="988"/>
    </row>
    <row r="19" spans="3:29" hidden="1">
      <c r="C19" s="651" t="s">
        <v>929</v>
      </c>
      <c r="D19" s="912">
        <f>451</f>
        <v>451</v>
      </c>
      <c r="E19" s="913">
        <v>39773.14</v>
      </c>
      <c r="F19" s="914">
        <f>D19*43.04/83</f>
        <v>233.86795180722893</v>
      </c>
      <c r="G19" s="992">
        <f t="shared" ref="G19:G56" si="10">D19/E19</f>
        <v>1.1339310901779443E-2</v>
      </c>
      <c r="H19" s="992">
        <f>F19/E19</f>
        <v>5.880047484489003E-3</v>
      </c>
      <c r="I19" s="912">
        <f>291</f>
        <v>291</v>
      </c>
      <c r="J19" s="912">
        <v>84697</v>
      </c>
      <c r="K19" s="914">
        <f>I19*43.04/83</f>
        <v>150.89927710843372</v>
      </c>
      <c r="L19" s="992">
        <f t="shared" ref="L19:L43" si="11">I19/J19</f>
        <v>3.4357769460547599E-3</v>
      </c>
      <c r="M19" s="992">
        <f>K19/J19</f>
        <v>1.7816366235927331E-3</v>
      </c>
      <c r="N19" s="912">
        <f>473</f>
        <v>473</v>
      </c>
      <c r="O19" s="912">
        <v>102886.04</v>
      </c>
      <c r="P19" s="914">
        <f>N19*43.04/83</f>
        <v>245.27614457831322</v>
      </c>
      <c r="Q19" s="992">
        <f t="shared" ref="Q19:Q30" si="12">N19/O19</f>
        <v>4.5973195197327064E-3</v>
      </c>
      <c r="R19" s="992">
        <f>P19/O19</f>
        <v>2.383959423244526E-3</v>
      </c>
      <c r="S19" s="915"/>
      <c r="T19" s="915"/>
      <c r="U19" s="992">
        <f t="shared" si="6"/>
        <v>2.7711732907105312E-3</v>
      </c>
      <c r="V19" s="992">
        <f t="shared" si="7"/>
        <v>5.3440377121044174E-3</v>
      </c>
      <c r="W19" s="988">
        <f t="shared" si="8"/>
        <v>1215</v>
      </c>
      <c r="X19" s="956">
        <f t="shared" si="9"/>
        <v>1215000</v>
      </c>
    </row>
    <row r="20" spans="3:29" hidden="1">
      <c r="C20" s="651" t="s">
        <v>930</v>
      </c>
      <c r="D20" s="912">
        <f>203</f>
        <v>203</v>
      </c>
      <c r="E20" s="913">
        <v>43540.84</v>
      </c>
      <c r="F20" s="914">
        <f t="shared" ref="F20:F32" si="13">D20*43.04/83</f>
        <v>105.26650602409637</v>
      </c>
      <c r="G20" s="992">
        <f t="shared" si="10"/>
        <v>4.6622894735149807E-3</v>
      </c>
      <c r="H20" s="992">
        <f t="shared" ref="H20:H56" si="14">F20/E20</f>
        <v>2.4176498667480089E-3</v>
      </c>
      <c r="I20" s="912">
        <f>659</f>
        <v>659</v>
      </c>
      <c r="J20" s="912">
        <v>77234.78</v>
      </c>
      <c r="K20" s="914">
        <f t="shared" ref="K20:K33" si="15">I20*43.04/83</f>
        <v>341.72722891566264</v>
      </c>
      <c r="L20" s="992">
        <f t="shared" si="11"/>
        <v>8.5324254176680509E-3</v>
      </c>
      <c r="M20" s="992">
        <f t="shared" ref="M20:M43" si="16">K20/J20</f>
        <v>4.4245251804389506E-3</v>
      </c>
      <c r="N20" s="912">
        <f>776</f>
        <v>776</v>
      </c>
      <c r="O20" s="912">
        <v>77006.38</v>
      </c>
      <c r="P20" s="914">
        <f t="shared" ref="P20:P33" si="17">N20*43.04/83</f>
        <v>402.39807228915663</v>
      </c>
      <c r="Q20" s="992">
        <f t="shared" si="12"/>
        <v>1.0077087119275052E-2</v>
      </c>
      <c r="R20" s="992">
        <f t="shared" ref="R20:R43" si="18">P20/O20</f>
        <v>5.2255160194409423E-3</v>
      </c>
      <c r="S20" s="915"/>
      <c r="T20" s="915"/>
      <c r="U20" s="992">
        <f t="shared" si="6"/>
        <v>4.294585994827212E-3</v>
      </c>
      <c r="V20" s="992">
        <f t="shared" si="7"/>
        <v>8.2818456684632582E-3</v>
      </c>
      <c r="W20" s="988">
        <f t="shared" si="8"/>
        <v>1638</v>
      </c>
      <c r="X20" s="956">
        <f t="shared" si="9"/>
        <v>1638000</v>
      </c>
    </row>
    <row r="21" spans="3:29" hidden="1">
      <c r="C21" s="651" t="s">
        <v>931</v>
      </c>
      <c r="D21" s="912">
        <v>505</v>
      </c>
      <c r="E21" s="912">
        <v>45094.81</v>
      </c>
      <c r="F21" s="914">
        <f t="shared" si="13"/>
        <v>261.86987951807231</v>
      </c>
      <c r="G21" s="992">
        <f t="shared" si="10"/>
        <v>1.1198627957407959E-2</v>
      </c>
      <c r="H21" s="992">
        <f t="shared" si="14"/>
        <v>5.807095750443839E-3</v>
      </c>
      <c r="I21" s="912">
        <f>1012</f>
        <v>1012</v>
      </c>
      <c r="J21" s="912">
        <v>71214.539999999994</v>
      </c>
      <c r="K21" s="914">
        <f t="shared" si="15"/>
        <v>524.77686746987945</v>
      </c>
      <c r="L21" s="992">
        <f t="shared" si="11"/>
        <v>1.4210581153792472E-2</v>
      </c>
      <c r="M21" s="992">
        <f t="shared" si="16"/>
        <v>7.3689567814364801E-3</v>
      </c>
      <c r="N21" s="912">
        <f>507</f>
        <v>507</v>
      </c>
      <c r="O21" s="912">
        <v>111416.86</v>
      </c>
      <c r="P21" s="914">
        <f t="shared" si="17"/>
        <v>262.9069879518072</v>
      </c>
      <c r="Q21" s="992">
        <f t="shared" si="12"/>
        <v>4.5504782669337478E-3</v>
      </c>
      <c r="R21" s="992">
        <f t="shared" si="18"/>
        <v>2.3596696940822708E-3</v>
      </c>
      <c r="S21" s="915"/>
      <c r="T21" s="915"/>
      <c r="U21" s="992">
        <f t="shared" si="6"/>
        <v>4.6088403040640729E-3</v>
      </c>
      <c r="V21" s="992">
        <f t="shared" si="7"/>
        <v>8.8878658280046024E-3</v>
      </c>
      <c r="W21" s="988">
        <f t="shared" si="8"/>
        <v>2024</v>
      </c>
      <c r="X21" s="956">
        <f t="shared" si="9"/>
        <v>2024000</v>
      </c>
    </row>
    <row r="22" spans="3:29" hidden="1">
      <c r="C22" s="651" t="s">
        <v>932</v>
      </c>
      <c r="D22" s="912">
        <v>61</v>
      </c>
      <c r="E22" s="912">
        <v>19390.11</v>
      </c>
      <c r="F22" s="914">
        <f t="shared" si="13"/>
        <v>31.631807228915662</v>
      </c>
      <c r="G22" s="992">
        <f t="shared" si="10"/>
        <v>3.1459336744350599E-3</v>
      </c>
      <c r="H22" s="992">
        <f t="shared" si="14"/>
        <v>1.6313371728636744E-3</v>
      </c>
      <c r="I22" s="912">
        <f>307</f>
        <v>307</v>
      </c>
      <c r="J22" s="912">
        <v>27667.87</v>
      </c>
      <c r="K22" s="914">
        <f t="shared" si="15"/>
        <v>159.19614457831324</v>
      </c>
      <c r="L22" s="992">
        <f t="shared" si="11"/>
        <v>1.1095902937233695E-2</v>
      </c>
      <c r="M22" s="992">
        <f t="shared" si="16"/>
        <v>5.7538272580546761E-3</v>
      </c>
      <c r="N22" s="912">
        <f>183</f>
        <v>183</v>
      </c>
      <c r="O22" s="912">
        <v>54002.5</v>
      </c>
      <c r="P22" s="914">
        <f t="shared" si="17"/>
        <v>94.895421686746985</v>
      </c>
      <c r="Q22" s="992">
        <f t="shared" si="12"/>
        <v>3.3887320031480025E-3</v>
      </c>
      <c r="R22" s="992">
        <f t="shared" si="18"/>
        <v>1.7572412700661449E-3</v>
      </c>
      <c r="S22" s="915"/>
      <c r="T22" s="915"/>
      <c r="U22" s="992">
        <f t="shared" si="6"/>
        <v>2.8272513003498095E-3</v>
      </c>
      <c r="V22" s="992">
        <f t="shared" si="7"/>
        <v>5.452180713964549E-3</v>
      </c>
      <c r="W22" s="988">
        <f t="shared" si="8"/>
        <v>551</v>
      </c>
      <c r="X22" s="956">
        <f t="shared" si="9"/>
        <v>551000</v>
      </c>
    </row>
    <row r="23" spans="3:29" hidden="1">
      <c r="C23" s="651" t="s">
        <v>933</v>
      </c>
      <c r="D23" s="912">
        <v>85</v>
      </c>
      <c r="E23" s="912">
        <v>44627.97</v>
      </c>
      <c r="F23" s="914">
        <f t="shared" si="13"/>
        <v>44.077108433734942</v>
      </c>
      <c r="G23" s="992">
        <f t="shared" si="10"/>
        <v>1.9046351424902364E-3</v>
      </c>
      <c r="H23" s="992">
        <f t="shared" si="14"/>
        <v>9.8765658473228663E-4</v>
      </c>
      <c r="I23" s="912">
        <f>1276</f>
        <v>1276</v>
      </c>
      <c r="J23" s="912">
        <v>78658.09</v>
      </c>
      <c r="K23" s="914">
        <f t="shared" si="15"/>
        <v>661.67518072289158</v>
      </c>
      <c r="L23" s="992">
        <f t="shared" si="11"/>
        <v>1.622210760520628E-2</v>
      </c>
      <c r="M23" s="992">
        <f t="shared" si="16"/>
        <v>8.4120423051575709E-3</v>
      </c>
      <c r="N23" s="912">
        <f>541</f>
        <v>541</v>
      </c>
      <c r="O23" s="912">
        <v>116173.53</v>
      </c>
      <c r="P23" s="914">
        <f t="shared" si="17"/>
        <v>280.53783132530117</v>
      </c>
      <c r="Q23" s="992">
        <f t="shared" si="12"/>
        <v>4.6568267315282574E-3</v>
      </c>
      <c r="R23" s="992">
        <f t="shared" si="18"/>
        <v>2.4148171388551349E-3</v>
      </c>
      <c r="S23" s="915"/>
      <c r="T23" s="915"/>
      <c r="U23" s="992">
        <f t="shared" si="6"/>
        <v>4.1188165422062556E-3</v>
      </c>
      <c r="V23" s="992">
        <f t="shared" si="7"/>
        <v>7.9428850604813944E-3</v>
      </c>
      <c r="W23" s="988">
        <f t="shared" si="8"/>
        <v>1902</v>
      </c>
      <c r="X23" s="956">
        <f t="shared" si="9"/>
        <v>1902000</v>
      </c>
    </row>
    <row r="24" spans="3:29" hidden="1">
      <c r="C24" s="651" t="s">
        <v>934</v>
      </c>
      <c r="D24" s="912">
        <v>86</v>
      </c>
      <c r="E24" s="912">
        <v>40971.08</v>
      </c>
      <c r="F24" s="914">
        <f t="shared" si="13"/>
        <v>44.595662650602414</v>
      </c>
      <c r="G24" s="992">
        <f t="shared" si="10"/>
        <v>2.0990415678571323E-3</v>
      </c>
      <c r="H24" s="992">
        <f t="shared" si="14"/>
        <v>1.0884668563924216E-3</v>
      </c>
      <c r="I24" s="912">
        <f>983</f>
        <v>983</v>
      </c>
      <c r="J24" s="912">
        <v>124698</v>
      </c>
      <c r="K24" s="914">
        <f t="shared" si="15"/>
        <v>509.73879518072289</v>
      </c>
      <c r="L24" s="992">
        <f t="shared" si="11"/>
        <v>7.88304543777767E-3</v>
      </c>
      <c r="M24" s="992">
        <f t="shared" si="16"/>
        <v>4.0877864535174818E-3</v>
      </c>
      <c r="N24" s="912">
        <f>1654</f>
        <v>1654</v>
      </c>
      <c r="O24" s="912">
        <v>188868.23</v>
      </c>
      <c r="P24" s="914">
        <f t="shared" si="17"/>
        <v>857.68867469879524</v>
      </c>
      <c r="Q24" s="992">
        <f t="shared" si="12"/>
        <v>8.7574283933301005E-3</v>
      </c>
      <c r="R24" s="992">
        <f t="shared" si="18"/>
        <v>4.5412014222762356E-3</v>
      </c>
      <c r="S24" s="915"/>
      <c r="T24" s="915"/>
      <c r="U24" s="992">
        <f t="shared" si="6"/>
        <v>3.9827208384080092E-3</v>
      </c>
      <c r="V24" s="992">
        <f t="shared" si="7"/>
        <v>7.6804328435842182E-3</v>
      </c>
      <c r="W24" s="988">
        <f t="shared" si="8"/>
        <v>2723</v>
      </c>
      <c r="X24" s="956">
        <f t="shared" si="9"/>
        <v>2723000</v>
      </c>
    </row>
    <row r="25" spans="3:29" hidden="1">
      <c r="C25" s="651" t="s">
        <v>935</v>
      </c>
      <c r="D25" s="912">
        <v>314</v>
      </c>
      <c r="E25" s="912">
        <v>44173.9</v>
      </c>
      <c r="F25" s="914">
        <f t="shared" si="13"/>
        <v>162.82602409638554</v>
      </c>
      <c r="G25" s="992">
        <f t="shared" si="10"/>
        <v>7.1082698154340002E-3</v>
      </c>
      <c r="H25" s="992">
        <f t="shared" si="14"/>
        <v>3.6860232874250526E-3</v>
      </c>
      <c r="I25" s="912">
        <f>983</f>
        <v>983</v>
      </c>
      <c r="J25" s="912">
        <v>85786</v>
      </c>
      <c r="K25" s="914">
        <f t="shared" si="15"/>
        <v>509.73879518072289</v>
      </c>
      <c r="L25" s="992">
        <f t="shared" si="11"/>
        <v>1.1458746182360759E-2</v>
      </c>
      <c r="M25" s="992">
        <f t="shared" si="16"/>
        <v>5.9419811528771934E-3</v>
      </c>
      <c r="N25" s="912">
        <f>650</f>
        <v>650</v>
      </c>
      <c r="O25" s="912">
        <v>196855.52</v>
      </c>
      <c r="P25" s="914">
        <f t="shared" si="17"/>
        <v>337.06024096385545</v>
      </c>
      <c r="Q25" s="992">
        <f t="shared" si="12"/>
        <v>3.3019140128760427E-3</v>
      </c>
      <c r="R25" s="992">
        <f t="shared" si="18"/>
        <v>1.7122214351106611E-3</v>
      </c>
      <c r="S25" s="915"/>
      <c r="T25" s="915"/>
      <c r="U25" s="992">
        <f t="shared" si="6"/>
        <v>3.0892822016811935E-3</v>
      </c>
      <c r="V25" s="992">
        <f t="shared" si="7"/>
        <v>5.9574912346547181E-3</v>
      </c>
      <c r="W25" s="988">
        <f t="shared" si="8"/>
        <v>1947</v>
      </c>
      <c r="X25" s="956">
        <f t="shared" si="9"/>
        <v>1947000</v>
      </c>
    </row>
    <row r="26" spans="3:29" hidden="1">
      <c r="C26" s="651" t="s">
        <v>936</v>
      </c>
      <c r="D26" s="912">
        <f>203</f>
        <v>203</v>
      </c>
      <c r="E26" s="912">
        <v>38292</v>
      </c>
      <c r="F26" s="914">
        <f t="shared" si="13"/>
        <v>105.26650602409637</v>
      </c>
      <c r="G26" s="992">
        <f t="shared" si="10"/>
        <v>5.3013684320484698E-3</v>
      </c>
      <c r="H26" s="992">
        <f t="shared" si="14"/>
        <v>2.7490469556068205E-3</v>
      </c>
      <c r="I26" s="912">
        <f>1248</f>
        <v>1248</v>
      </c>
      <c r="J26" s="912">
        <v>67075</v>
      </c>
      <c r="K26" s="914">
        <f t="shared" si="15"/>
        <v>647.15566265060238</v>
      </c>
      <c r="L26" s="992">
        <f t="shared" si="11"/>
        <v>1.8606038017144989E-2</v>
      </c>
      <c r="M26" s="992">
        <f t="shared" si="16"/>
        <v>9.648239472986991E-3</v>
      </c>
      <c r="N26" s="912">
        <f>1016</f>
        <v>1016</v>
      </c>
      <c r="O26" s="912">
        <v>142324.5</v>
      </c>
      <c r="P26" s="914">
        <f t="shared" si="17"/>
        <v>526.85108433734933</v>
      </c>
      <c r="Q26" s="992">
        <f t="shared" si="12"/>
        <v>7.1386163309900968E-3</v>
      </c>
      <c r="R26" s="992">
        <f t="shared" si="18"/>
        <v>3.7017596010339004E-3</v>
      </c>
      <c r="S26" s="915"/>
      <c r="T26" s="915"/>
      <c r="U26" s="992">
        <f t="shared" si="6"/>
        <v>5.1647846333525696E-3</v>
      </c>
      <c r="V26" s="992">
        <f t="shared" si="7"/>
        <v>9.9599703663629958E-3</v>
      </c>
      <c r="W26" s="988">
        <f t="shared" si="8"/>
        <v>2467</v>
      </c>
      <c r="X26" s="956">
        <f t="shared" si="9"/>
        <v>2467000</v>
      </c>
    </row>
    <row r="27" spans="3:29" hidden="1">
      <c r="C27" s="651" t="s">
        <v>937</v>
      </c>
      <c r="D27" s="912">
        <f>186</f>
        <v>186</v>
      </c>
      <c r="E27" s="912">
        <v>35691</v>
      </c>
      <c r="F27" s="914">
        <f t="shared" si="13"/>
        <v>96.4510843373494</v>
      </c>
      <c r="G27" s="992">
        <f t="shared" si="10"/>
        <v>5.2113978313860637E-3</v>
      </c>
      <c r="H27" s="992">
        <f t="shared" si="14"/>
        <v>2.702392321239231E-3</v>
      </c>
      <c r="I27" s="912">
        <f>592</f>
        <v>592</v>
      </c>
      <c r="J27" s="912">
        <v>98741</v>
      </c>
      <c r="K27" s="914">
        <f t="shared" si="15"/>
        <v>306.98409638554216</v>
      </c>
      <c r="L27" s="992">
        <f t="shared" si="11"/>
        <v>5.9954831326399366E-3</v>
      </c>
      <c r="M27" s="992">
        <f t="shared" si="16"/>
        <v>3.1089830605882272E-3</v>
      </c>
      <c r="N27" s="912">
        <f>977</f>
        <v>977</v>
      </c>
      <c r="O27" s="912">
        <v>188415.11</v>
      </c>
      <c r="P27" s="914">
        <f t="shared" si="17"/>
        <v>506.62746987951812</v>
      </c>
      <c r="Q27" s="992">
        <f t="shared" si="12"/>
        <v>5.1853590723164407E-3</v>
      </c>
      <c r="R27" s="992">
        <f t="shared" si="18"/>
        <v>2.6888898129216821E-3</v>
      </c>
      <c r="S27" s="915"/>
      <c r="T27" s="915"/>
      <c r="U27" s="992">
        <f t="shared" si="6"/>
        <v>2.8188657182107338E-3</v>
      </c>
      <c r="V27" s="992">
        <f t="shared" si="7"/>
        <v>5.4360096331666097E-3</v>
      </c>
      <c r="W27" s="988">
        <f t="shared" si="8"/>
        <v>1755</v>
      </c>
      <c r="X27" s="956">
        <f t="shared" si="9"/>
        <v>1755000</v>
      </c>
    </row>
    <row r="28" spans="3:29" hidden="1">
      <c r="C28" s="651" t="s">
        <v>938</v>
      </c>
      <c r="D28" s="912">
        <f>165</f>
        <v>165</v>
      </c>
      <c r="E28" s="912">
        <v>33784.480000000003</v>
      </c>
      <c r="F28" s="914">
        <f t="shared" si="13"/>
        <v>85.561445783132527</v>
      </c>
      <c r="G28" s="992">
        <f t="shared" si="10"/>
        <v>4.8838993526021408E-3</v>
      </c>
      <c r="H28" s="992">
        <f t="shared" si="14"/>
        <v>2.5325666040481461E-3</v>
      </c>
      <c r="I28" s="912">
        <f>7033</f>
        <v>7033</v>
      </c>
      <c r="J28" s="912">
        <v>120516</v>
      </c>
      <c r="K28" s="914">
        <f t="shared" si="15"/>
        <v>3646.9918072289156</v>
      </c>
      <c r="L28" s="992">
        <f t="shared" si="11"/>
        <v>5.8357396528261808E-2</v>
      </c>
      <c r="M28" s="992">
        <f t="shared" si="16"/>
        <v>3.0261474055137207E-2</v>
      </c>
      <c r="N28" s="912">
        <f>1000</f>
        <v>1000</v>
      </c>
      <c r="O28" s="912">
        <v>124348.5</v>
      </c>
      <c r="P28" s="914">
        <f t="shared" si="17"/>
        <v>518.5542168674699</v>
      </c>
      <c r="Q28" s="992">
        <f t="shared" si="12"/>
        <v>8.041914458155908E-3</v>
      </c>
      <c r="R28" s="992">
        <f t="shared" si="18"/>
        <v>4.1701686539642206E-3</v>
      </c>
      <c r="S28" s="915"/>
      <c r="T28" s="915"/>
      <c r="U28" s="992">
        <f t="shared" si="6"/>
        <v>1.5256138636787828E-2</v>
      </c>
      <c r="V28" s="992">
        <f t="shared" si="7"/>
        <v>2.9420527575589907E-2</v>
      </c>
      <c r="W28" s="988">
        <f t="shared" si="8"/>
        <v>8198</v>
      </c>
      <c r="X28" s="956">
        <f t="shared" si="9"/>
        <v>8198000</v>
      </c>
    </row>
    <row r="29" spans="3:29" hidden="1">
      <c r="C29" s="651" t="s">
        <v>939</v>
      </c>
      <c r="D29" s="912">
        <f>201</f>
        <v>201</v>
      </c>
      <c r="E29" s="912">
        <v>22379.18</v>
      </c>
      <c r="F29" s="914">
        <f t="shared" si="13"/>
        <v>104.22939759036143</v>
      </c>
      <c r="G29" s="992">
        <f t="shared" si="10"/>
        <v>8.9815623271272665E-3</v>
      </c>
      <c r="H29" s="992">
        <f t="shared" si="14"/>
        <v>4.6574270187898495E-3</v>
      </c>
      <c r="I29" s="912">
        <f>6698</f>
        <v>6698</v>
      </c>
      <c r="J29" s="912">
        <v>103868</v>
      </c>
      <c r="K29" s="914">
        <f t="shared" si="15"/>
        <v>3473.2761445783131</v>
      </c>
      <c r="L29" s="992">
        <f t="shared" si="11"/>
        <v>6.44856933800593E-2</v>
      </c>
      <c r="M29" s="992">
        <f t="shared" si="16"/>
        <v>3.343932822985244E-2</v>
      </c>
      <c r="N29" s="912">
        <f>1048</f>
        <v>1048</v>
      </c>
      <c r="O29" s="912">
        <v>56964.91</v>
      </c>
      <c r="P29" s="914">
        <f t="shared" si="17"/>
        <v>543.44481927710842</v>
      </c>
      <c r="Q29" s="992">
        <f t="shared" si="12"/>
        <v>1.8397290542546279E-2</v>
      </c>
      <c r="R29" s="992">
        <f t="shared" si="18"/>
        <v>9.5399925897733957E-3</v>
      </c>
      <c r="S29" s="915"/>
      <c r="T29" s="915"/>
      <c r="U29" s="992">
        <f t="shared" si="6"/>
        <v>2.2492786155355701E-2</v>
      </c>
      <c r="V29" s="992">
        <f t="shared" si="7"/>
        <v>4.3375958431564207E-2</v>
      </c>
      <c r="W29" s="988">
        <f t="shared" si="8"/>
        <v>7947</v>
      </c>
      <c r="X29" s="956">
        <f t="shared" si="9"/>
        <v>7947000</v>
      </c>
    </row>
    <row r="30" spans="3:29" s="665" customFormat="1" hidden="1">
      <c r="C30" s="651" t="s">
        <v>940</v>
      </c>
      <c r="D30" s="912">
        <f>212</f>
        <v>212</v>
      </c>
      <c r="E30" s="912">
        <v>48900</v>
      </c>
      <c r="F30" s="914">
        <f t="shared" si="13"/>
        <v>109.93349397590362</v>
      </c>
      <c r="G30" s="992">
        <f t="shared" si="10"/>
        <v>4.3353783231083846E-3</v>
      </c>
      <c r="H30" s="992">
        <f t="shared" si="14"/>
        <v>2.2481287111636729E-3</v>
      </c>
      <c r="I30" s="912">
        <f>7401</f>
        <v>7401</v>
      </c>
      <c r="J30" s="912">
        <v>127923</v>
      </c>
      <c r="K30" s="914">
        <f t="shared" si="15"/>
        <v>3837.8197590361442</v>
      </c>
      <c r="L30" s="992">
        <f t="shared" si="11"/>
        <v>5.7855115968199623E-2</v>
      </c>
      <c r="M30" s="992">
        <f t="shared" si="16"/>
        <v>3.0001014352666402E-2</v>
      </c>
      <c r="N30" s="912">
        <f>910</f>
        <v>910</v>
      </c>
      <c r="O30" s="912">
        <v>119664</v>
      </c>
      <c r="P30" s="914">
        <f t="shared" si="17"/>
        <v>471.88433734939758</v>
      </c>
      <c r="Q30" s="992">
        <f t="shared" si="12"/>
        <v>7.6046262869367562E-3</v>
      </c>
      <c r="R30" s="992">
        <f t="shared" si="18"/>
        <v>3.9434110287922645E-3</v>
      </c>
      <c r="S30" s="915"/>
      <c r="T30" s="915"/>
      <c r="U30" s="992">
        <f t="shared" si="6"/>
        <v>1.4906682553911118E-2</v>
      </c>
      <c r="V30" s="992">
        <f t="shared" si="7"/>
        <v>2.8746622954800717E-2</v>
      </c>
      <c r="W30" s="988">
        <f t="shared" si="8"/>
        <v>8523</v>
      </c>
      <c r="X30" s="956">
        <f t="shared" si="9"/>
        <v>8523000</v>
      </c>
      <c r="AC30" s="917"/>
    </row>
    <row r="31" spans="3:29" s="665" customFormat="1" hidden="1">
      <c r="C31" s="651"/>
      <c r="D31" s="912"/>
      <c r="E31" s="912"/>
      <c r="F31" s="914"/>
      <c r="G31" s="992"/>
      <c r="H31" s="992"/>
      <c r="I31" s="912"/>
      <c r="J31" s="912"/>
      <c r="K31" s="914"/>
      <c r="L31" s="992"/>
      <c r="M31" s="992"/>
      <c r="N31" s="912"/>
      <c r="O31" s="912"/>
      <c r="P31" s="914"/>
      <c r="Q31" s="992"/>
      <c r="R31" s="992"/>
      <c r="S31" s="915"/>
      <c r="T31" s="915"/>
      <c r="U31" s="992"/>
      <c r="V31" s="992"/>
      <c r="W31" s="988"/>
      <c r="X31" s="956"/>
      <c r="AC31" s="917"/>
    </row>
    <row r="32" spans="3:29" s="665" customFormat="1" hidden="1">
      <c r="C32" s="651" t="s">
        <v>941</v>
      </c>
      <c r="D32" s="912">
        <f>187</f>
        <v>187</v>
      </c>
      <c r="E32" s="912">
        <v>47650.59</v>
      </c>
      <c r="F32" s="914">
        <f t="shared" si="13"/>
        <v>96.969638554216857</v>
      </c>
      <c r="G32" s="992">
        <f t="shared" si="10"/>
        <v>3.9244005163419802E-3</v>
      </c>
      <c r="H32" s="992">
        <f t="shared" si="14"/>
        <v>2.0350144364260098E-3</v>
      </c>
      <c r="I32" s="912">
        <f>5664</f>
        <v>5664</v>
      </c>
      <c r="J32" s="912">
        <v>111360.84</v>
      </c>
      <c r="K32" s="914">
        <f t="shared" si="15"/>
        <v>2937.0910843373495</v>
      </c>
      <c r="L32" s="992">
        <f t="shared" si="11"/>
        <v>5.0861685310563391E-2</v>
      </c>
      <c r="M32" s="992">
        <f t="shared" si="16"/>
        <v>2.6374541394778898E-2</v>
      </c>
      <c r="N32" s="912">
        <f>993</f>
        <v>993</v>
      </c>
      <c r="O32" s="912">
        <v>159071</v>
      </c>
      <c r="P32" s="914">
        <f t="shared" si="17"/>
        <v>514.92433734939766</v>
      </c>
      <c r="Q32" s="992">
        <f t="shared" ref="Q32:Q43" si="19">N32/O32</f>
        <v>6.2424954894355353E-3</v>
      </c>
      <c r="R32" s="992">
        <f t="shared" si="18"/>
        <v>3.2370723598229576E-3</v>
      </c>
      <c r="S32" s="915"/>
      <c r="T32" s="915"/>
      <c r="U32" s="992">
        <f t="shared" si="6"/>
        <v>1.1157438215751068E-2</v>
      </c>
      <c r="V32" s="992">
        <f t="shared" si="7"/>
        <v>2.1516435220895413E-2</v>
      </c>
      <c r="W32" s="988">
        <f t="shared" si="8"/>
        <v>6844</v>
      </c>
      <c r="X32" s="956">
        <f t="shared" si="9"/>
        <v>6844000</v>
      </c>
      <c r="AC32" s="917"/>
    </row>
    <row r="33" spans="3:29" s="665" customFormat="1" hidden="1">
      <c r="C33" s="651" t="s">
        <v>942</v>
      </c>
      <c r="D33" s="912">
        <v>176</v>
      </c>
      <c r="E33" s="912">
        <v>39540</v>
      </c>
      <c r="F33" s="914">
        <f>D33*43.04/83</f>
        <v>91.265542168674699</v>
      </c>
      <c r="G33" s="992">
        <f t="shared" si="10"/>
        <v>4.4511886697015677E-3</v>
      </c>
      <c r="H33" s="992">
        <f t="shared" si="14"/>
        <v>2.3081826547464517E-3</v>
      </c>
      <c r="I33" s="912">
        <v>5443</v>
      </c>
      <c r="J33" s="912">
        <v>139195</v>
      </c>
      <c r="K33" s="914">
        <f t="shared" si="15"/>
        <v>2822.4906024096385</v>
      </c>
      <c r="L33" s="992">
        <f t="shared" si="11"/>
        <v>3.9103416070979564E-2</v>
      </c>
      <c r="M33" s="992">
        <f t="shared" si="16"/>
        <v>2.0277241297529641E-2</v>
      </c>
      <c r="N33" s="912">
        <v>820</v>
      </c>
      <c r="O33" s="912">
        <v>154733</v>
      </c>
      <c r="P33" s="914">
        <f t="shared" si="17"/>
        <v>425.21445783132532</v>
      </c>
      <c r="Q33" s="992">
        <f t="shared" si="19"/>
        <v>5.2994513129067493E-3</v>
      </c>
      <c r="R33" s="992">
        <f t="shared" si="18"/>
        <v>2.7480528253916443E-3</v>
      </c>
      <c r="S33" s="915"/>
      <c r="T33" s="915"/>
      <c r="U33" s="992">
        <f t="shared" si="6"/>
        <v>1.0012866609118832E-2</v>
      </c>
      <c r="V33" s="992">
        <f t="shared" si="7"/>
        <v>1.9309199083570237E-2</v>
      </c>
      <c r="W33" s="988">
        <f t="shared" si="8"/>
        <v>6439</v>
      </c>
      <c r="X33" s="956">
        <f t="shared" si="9"/>
        <v>6439000</v>
      </c>
      <c r="AC33" s="917"/>
    </row>
    <row r="34" spans="3:29" s="665" customFormat="1" hidden="1">
      <c r="C34" s="651" t="s">
        <v>943</v>
      </c>
      <c r="D34" s="912">
        <v>197</v>
      </c>
      <c r="E34" s="912">
        <v>29734.55</v>
      </c>
      <c r="F34" s="914">
        <v>101.02</v>
      </c>
      <c r="G34" s="992">
        <f t="shared" si="10"/>
        <v>6.625289436026441E-3</v>
      </c>
      <c r="H34" s="992">
        <f t="shared" si="14"/>
        <v>3.3973946133370103E-3</v>
      </c>
      <c r="I34" s="912">
        <v>7711</v>
      </c>
      <c r="J34" s="912">
        <v>150479</v>
      </c>
      <c r="K34" s="914">
        <v>3954.26</v>
      </c>
      <c r="L34" s="992">
        <f t="shared" si="11"/>
        <v>5.1243030588985841E-2</v>
      </c>
      <c r="M34" s="992">
        <f t="shared" si="16"/>
        <v>2.6277819496408138E-2</v>
      </c>
      <c r="N34" s="912">
        <v>1108</v>
      </c>
      <c r="O34" s="912">
        <v>228718</v>
      </c>
      <c r="P34" s="914">
        <v>568.19000000000005</v>
      </c>
      <c r="Q34" s="992">
        <f t="shared" si="19"/>
        <v>4.84439353264719E-3</v>
      </c>
      <c r="R34" s="992">
        <f t="shared" si="18"/>
        <v>2.4842382322335806E-3</v>
      </c>
      <c r="S34" s="915"/>
      <c r="T34" s="915"/>
      <c r="U34" s="992">
        <f t="shared" si="6"/>
        <v>1.1306219830678265E-2</v>
      </c>
      <c r="V34" s="992">
        <f t="shared" si="7"/>
        <v>2.2047699670030351E-2</v>
      </c>
      <c r="W34" s="988">
        <f t="shared" si="8"/>
        <v>9016</v>
      </c>
      <c r="X34" s="956">
        <f t="shared" si="9"/>
        <v>9016000</v>
      </c>
      <c r="AC34" s="917"/>
    </row>
    <row r="35" spans="3:29" s="665" customFormat="1" hidden="1">
      <c r="C35" s="651" t="s">
        <v>944</v>
      </c>
      <c r="D35" s="912">
        <v>197</v>
      </c>
      <c r="E35" s="912">
        <v>66778</v>
      </c>
      <c r="F35" s="914">
        <v>101.02</v>
      </c>
      <c r="G35" s="992">
        <f t="shared" si="10"/>
        <v>2.9500733774596422E-3</v>
      </c>
      <c r="H35" s="992">
        <f t="shared" si="14"/>
        <v>1.5127736679744826E-3</v>
      </c>
      <c r="I35" s="912">
        <v>5260</v>
      </c>
      <c r="J35" s="912">
        <v>154314</v>
      </c>
      <c r="K35" s="914">
        <v>2697.37</v>
      </c>
      <c r="L35" s="992">
        <f t="shared" si="11"/>
        <v>3.4086343429630496E-2</v>
      </c>
      <c r="M35" s="992">
        <f t="shared" si="16"/>
        <v>1.7479749083038478E-2</v>
      </c>
      <c r="N35" s="912">
        <v>943</v>
      </c>
      <c r="O35" s="912">
        <v>153068</v>
      </c>
      <c r="P35" s="914">
        <v>483.58</v>
      </c>
      <c r="Q35" s="992">
        <f t="shared" si="19"/>
        <v>6.1606606214231587E-3</v>
      </c>
      <c r="R35" s="992">
        <f t="shared" si="18"/>
        <v>3.1592494838895129E-3</v>
      </c>
      <c r="S35" s="915"/>
      <c r="T35" s="915"/>
      <c r="U35" s="992">
        <f t="shared" si="6"/>
        <v>8.7715683130211667E-3</v>
      </c>
      <c r="V35" s="992">
        <f t="shared" si="7"/>
        <v>1.7104981825956812E-2</v>
      </c>
      <c r="W35" s="988">
        <f t="shared" si="8"/>
        <v>6400</v>
      </c>
      <c r="X35" s="956">
        <f t="shared" si="9"/>
        <v>6400000</v>
      </c>
      <c r="AC35" s="917"/>
    </row>
    <row r="36" spans="3:29" s="665" customFormat="1" hidden="1">
      <c r="C36" s="651" t="s">
        <v>945</v>
      </c>
      <c r="D36" s="912">
        <v>184</v>
      </c>
      <c r="E36" s="912">
        <v>47396.71</v>
      </c>
      <c r="F36" s="914">
        <v>94.35</v>
      </c>
      <c r="G36" s="992">
        <f t="shared" si="10"/>
        <v>3.8821259956651E-3</v>
      </c>
      <c r="H36" s="992">
        <f t="shared" si="14"/>
        <v>1.990644498320664E-3</v>
      </c>
      <c r="I36" s="912">
        <v>7012</v>
      </c>
      <c r="J36" s="912">
        <v>103863</v>
      </c>
      <c r="K36" s="914">
        <v>3595.81</v>
      </c>
      <c r="L36" s="915">
        <f t="shared" si="11"/>
        <v>6.7512011014509501E-2</v>
      </c>
      <c r="M36" s="915">
        <f t="shared" si="16"/>
        <v>3.4620702271261183E-2</v>
      </c>
      <c r="N36" s="912">
        <v>1453</v>
      </c>
      <c r="O36" s="912">
        <v>152332.14000000001</v>
      </c>
      <c r="P36" s="914">
        <v>745.11</v>
      </c>
      <c r="Q36" s="992">
        <f t="shared" si="19"/>
        <v>9.5383679373243213E-3</v>
      </c>
      <c r="R36" s="992">
        <f t="shared" si="18"/>
        <v>4.8913512276529429E-3</v>
      </c>
      <c r="S36" s="915"/>
      <c r="T36" s="915"/>
      <c r="U36" s="992">
        <f t="shared" si="6"/>
        <v>1.4609318399028168E-2</v>
      </c>
      <c r="V36" s="992">
        <f t="shared" si="7"/>
        <v>2.8488907063875399E-2</v>
      </c>
      <c r="W36" s="988">
        <f t="shared" si="8"/>
        <v>8649</v>
      </c>
      <c r="X36" s="956">
        <f t="shared" si="9"/>
        <v>8649000</v>
      </c>
      <c r="AC36" s="917"/>
    </row>
    <row r="37" spans="3:29" s="665" customFormat="1" hidden="1">
      <c r="C37" s="651" t="s">
        <v>1007</v>
      </c>
      <c r="D37" s="912">
        <v>197</v>
      </c>
      <c r="E37" s="912">
        <v>58452</v>
      </c>
      <c r="F37" s="914">
        <v>101.02</v>
      </c>
      <c r="G37" s="992">
        <f t="shared" si="10"/>
        <v>3.3702867309929516E-3</v>
      </c>
      <c r="H37" s="992">
        <f t="shared" si="14"/>
        <v>1.7282556627660301E-3</v>
      </c>
      <c r="I37" s="912">
        <v>5324</v>
      </c>
      <c r="J37" s="912">
        <v>120768</v>
      </c>
      <c r="K37" s="914">
        <v>2730.19</v>
      </c>
      <c r="L37" s="915">
        <f t="shared" si="11"/>
        <v>4.4084525702172764E-2</v>
      </c>
      <c r="M37" s="915">
        <f t="shared" si="16"/>
        <v>2.2606899178590354E-2</v>
      </c>
      <c r="N37" s="912">
        <v>1756</v>
      </c>
      <c r="O37" s="912">
        <v>178332</v>
      </c>
      <c r="P37" s="914">
        <v>900.49</v>
      </c>
      <c r="Q37" s="992">
        <f t="shared" si="19"/>
        <v>9.8468025929165821E-3</v>
      </c>
      <c r="R37" s="992">
        <f t="shared" si="18"/>
        <v>5.049514388892627E-3</v>
      </c>
      <c r="S37" s="915"/>
      <c r="T37" s="915"/>
      <c r="U37" s="992">
        <f t="shared" si="6"/>
        <v>1.0436803597798361E-2</v>
      </c>
      <c r="V37" s="992">
        <f t="shared" si="7"/>
        <v>2.035228442296505E-2</v>
      </c>
      <c r="W37" s="988">
        <f t="shared" si="8"/>
        <v>7277</v>
      </c>
      <c r="X37" s="956">
        <f t="shared" si="9"/>
        <v>7277000</v>
      </c>
      <c r="AC37" s="917"/>
    </row>
    <row r="38" spans="3:29" s="665" customFormat="1" hidden="1">
      <c r="C38" s="651" t="s">
        <v>1008</v>
      </c>
      <c r="D38" s="912">
        <v>136</v>
      </c>
      <c r="E38" s="912">
        <v>41804</v>
      </c>
      <c r="F38" s="914">
        <v>69.739999999999995</v>
      </c>
      <c r="G38" s="992">
        <f t="shared" si="10"/>
        <v>3.2532771983542243E-3</v>
      </c>
      <c r="H38" s="992">
        <f t="shared" si="14"/>
        <v>1.6682614103913499E-3</v>
      </c>
      <c r="I38" s="912">
        <v>2452</v>
      </c>
      <c r="J38" s="912">
        <v>83186</v>
      </c>
      <c r="K38" s="914">
        <v>1257.4000000000001</v>
      </c>
      <c r="L38" s="915">
        <f t="shared" si="11"/>
        <v>2.9476113769143848E-2</v>
      </c>
      <c r="M38" s="915">
        <f t="shared" si="16"/>
        <v>1.5115524246868465E-2</v>
      </c>
      <c r="N38" s="912">
        <v>1149</v>
      </c>
      <c r="O38" s="912">
        <v>134055.5</v>
      </c>
      <c r="P38" s="914">
        <v>589.22</v>
      </c>
      <c r="Q38" s="992">
        <f t="shared" si="19"/>
        <v>8.5710769047148382E-3</v>
      </c>
      <c r="R38" s="992">
        <f t="shared" si="18"/>
        <v>4.3953437195788318E-3</v>
      </c>
      <c r="S38" s="915"/>
      <c r="T38" s="915"/>
      <c r="U38" s="992">
        <f t="shared" si="6"/>
        <v>7.3977737501713025E-3</v>
      </c>
      <c r="V38" s="992">
        <f t="shared" si="7"/>
        <v>1.4426037124752215E-2</v>
      </c>
      <c r="W38" s="988">
        <f t="shared" si="8"/>
        <v>3737</v>
      </c>
      <c r="X38" s="956">
        <f t="shared" si="9"/>
        <v>3737000</v>
      </c>
      <c r="AC38" s="917"/>
    </row>
    <row r="39" spans="3:29" s="665" customFormat="1" hidden="1">
      <c r="C39" s="651" t="s">
        <v>948</v>
      </c>
      <c r="D39" s="912">
        <v>158</v>
      </c>
      <c r="E39" s="912">
        <v>58281.52</v>
      </c>
      <c r="F39" s="914">
        <v>86.51</v>
      </c>
      <c r="G39" s="992">
        <f t="shared" si="10"/>
        <v>2.7109793979292235E-3</v>
      </c>
      <c r="H39" s="992">
        <f t="shared" si="14"/>
        <v>1.4843470108535262E-3</v>
      </c>
      <c r="I39" s="912">
        <v>4480</v>
      </c>
      <c r="J39" s="912">
        <v>135408</v>
      </c>
      <c r="K39" s="914">
        <v>2426.02</v>
      </c>
      <c r="L39" s="915">
        <f t="shared" si="11"/>
        <v>3.3085194375516956E-2</v>
      </c>
      <c r="M39" s="915">
        <f t="shared" si="16"/>
        <v>1.7916371263145457E-2</v>
      </c>
      <c r="N39" s="912">
        <v>1157</v>
      </c>
      <c r="O39" s="912">
        <v>215641.54</v>
      </c>
      <c r="P39" s="914">
        <v>636.41999999999996</v>
      </c>
      <c r="Q39" s="992">
        <f t="shared" si="19"/>
        <v>5.3653855374989432E-3</v>
      </c>
      <c r="R39" s="992">
        <f t="shared" si="18"/>
        <v>2.9512866584054257E-3</v>
      </c>
      <c r="S39" s="915"/>
      <c r="T39" s="915"/>
      <c r="U39" s="992">
        <f t="shared" si="6"/>
        <v>7.6929173173421054E-3</v>
      </c>
      <c r="V39" s="992">
        <f t="shared" si="7"/>
        <v>1.4157244749518886E-2</v>
      </c>
      <c r="W39" s="988">
        <f t="shared" si="8"/>
        <v>5795</v>
      </c>
      <c r="X39" s="956">
        <f t="shared" si="9"/>
        <v>5795000</v>
      </c>
      <c r="AC39" s="917"/>
    </row>
    <row r="40" spans="3:29" s="665" customFormat="1" hidden="1">
      <c r="C40" s="651" t="s">
        <v>949</v>
      </c>
      <c r="D40" s="912">
        <v>210</v>
      </c>
      <c r="E40" s="912">
        <v>61734.66</v>
      </c>
      <c r="F40" s="914">
        <v>111.26</v>
      </c>
      <c r="G40" s="992">
        <f t="shared" si="10"/>
        <v>3.4016547592551735E-3</v>
      </c>
      <c r="H40" s="992">
        <f t="shared" si="14"/>
        <v>1.8022290881653839E-3</v>
      </c>
      <c r="I40" s="912">
        <v>3741</v>
      </c>
      <c r="J40" s="912">
        <v>139596</v>
      </c>
      <c r="K40" s="914">
        <v>1981.92</v>
      </c>
      <c r="L40" s="915">
        <f t="shared" si="11"/>
        <v>2.6798762142181725E-2</v>
      </c>
      <c r="M40" s="915">
        <f t="shared" si="16"/>
        <v>1.4197541476833147E-2</v>
      </c>
      <c r="N40" s="912">
        <v>1064</v>
      </c>
      <c r="O40" s="912">
        <v>174856.56</v>
      </c>
      <c r="P40" s="914">
        <v>563.69000000000005</v>
      </c>
      <c r="Q40" s="992">
        <f t="shared" si="19"/>
        <v>6.0849876035534494E-3</v>
      </c>
      <c r="R40" s="992">
        <f t="shared" si="18"/>
        <v>3.2237280660216585E-3</v>
      </c>
      <c r="S40" s="915"/>
      <c r="T40" s="915"/>
      <c r="U40" s="992">
        <f t="shared" si="6"/>
        <v>7.0626269547381234E-3</v>
      </c>
      <c r="V40" s="992">
        <f t="shared" si="7"/>
        <v>1.3331128048422273E-2</v>
      </c>
      <c r="W40" s="988">
        <f t="shared" si="8"/>
        <v>5015</v>
      </c>
      <c r="X40" s="956">
        <f t="shared" si="9"/>
        <v>5015000</v>
      </c>
      <c r="AC40" s="917"/>
    </row>
    <row r="41" spans="3:29" hidden="1">
      <c r="C41" s="651" t="s">
        <v>950</v>
      </c>
      <c r="D41" s="912">
        <v>241</v>
      </c>
      <c r="E41" s="912">
        <v>58774.41</v>
      </c>
      <c r="F41" s="914">
        <v>127.39</v>
      </c>
      <c r="G41" s="992">
        <f t="shared" si="10"/>
        <v>4.1004239770335424E-3</v>
      </c>
      <c r="H41" s="992">
        <f t="shared" si="14"/>
        <v>2.1674398773207592E-3</v>
      </c>
      <c r="I41" s="912">
        <v>3270</v>
      </c>
      <c r="J41" s="912">
        <v>147339</v>
      </c>
      <c r="K41" s="914">
        <v>1728.46</v>
      </c>
      <c r="L41" s="915">
        <f t="shared" si="11"/>
        <v>2.2193716531264635E-2</v>
      </c>
      <c r="M41" s="915">
        <f t="shared" si="16"/>
        <v>1.1731177760131398E-2</v>
      </c>
      <c r="N41" s="912">
        <v>951</v>
      </c>
      <c r="O41" s="912">
        <v>163296</v>
      </c>
      <c r="P41" s="914">
        <v>502.68</v>
      </c>
      <c r="Q41" s="992">
        <f t="shared" si="19"/>
        <v>5.8237801293356851E-3</v>
      </c>
      <c r="R41" s="992">
        <f t="shared" si="18"/>
        <v>3.0783362727807174E-3</v>
      </c>
      <c r="S41" s="915"/>
      <c r="T41" s="915"/>
      <c r="U41" s="992">
        <f t="shared" si="6"/>
        <v>6.3845964292030353E-3</v>
      </c>
      <c r="V41" s="992">
        <f t="shared" si="7"/>
        <v>1.207873941272909E-2</v>
      </c>
      <c r="W41" s="988">
        <f t="shared" si="8"/>
        <v>4462</v>
      </c>
      <c r="X41" s="956">
        <f t="shared" si="9"/>
        <v>4462000</v>
      </c>
    </row>
    <row r="42" spans="3:29" hidden="1">
      <c r="C42" s="651" t="s">
        <v>951</v>
      </c>
      <c r="D42" s="912">
        <v>166</v>
      </c>
      <c r="E42" s="912">
        <v>51401.72</v>
      </c>
      <c r="F42" s="914">
        <v>87.64</v>
      </c>
      <c r="G42" s="992">
        <f t="shared" si="10"/>
        <v>3.2294639167716565E-3</v>
      </c>
      <c r="H42" s="992">
        <f t="shared" si="14"/>
        <v>1.7050013112401687E-3</v>
      </c>
      <c r="I42" s="912">
        <v>2290</v>
      </c>
      <c r="J42" s="912">
        <v>144586</v>
      </c>
      <c r="K42" s="914">
        <v>1209.02</v>
      </c>
      <c r="L42" s="915">
        <f t="shared" si="11"/>
        <v>1.5838324595742328E-2</v>
      </c>
      <c r="M42" s="915">
        <f t="shared" si="16"/>
        <v>8.3619437566569369E-3</v>
      </c>
      <c r="N42" s="912">
        <v>782</v>
      </c>
      <c r="O42" s="912">
        <v>189358</v>
      </c>
      <c r="P42" s="914">
        <v>412.86</v>
      </c>
      <c r="Q42" s="992">
        <f t="shared" si="19"/>
        <v>4.1297436601569516E-3</v>
      </c>
      <c r="R42" s="992">
        <f t="shared" si="18"/>
        <v>2.1803145364864438E-3</v>
      </c>
      <c r="S42" s="915"/>
      <c r="T42" s="915"/>
      <c r="U42" s="992">
        <f t="shared" si="6"/>
        <v>4.436327981014036E-3</v>
      </c>
      <c r="V42" s="992">
        <f t="shared" si="7"/>
        <v>8.4028440746662502E-3</v>
      </c>
      <c r="W42" s="988">
        <f t="shared" si="8"/>
        <v>3238</v>
      </c>
      <c r="X42" s="956">
        <f t="shared" si="9"/>
        <v>3238000</v>
      </c>
    </row>
    <row r="43" spans="3:29" hidden="1">
      <c r="C43" s="651" t="s">
        <v>952</v>
      </c>
      <c r="D43" s="912">
        <v>168</v>
      </c>
      <c r="E43" s="912">
        <v>37641.43</v>
      </c>
      <c r="F43" s="914">
        <v>88.7</v>
      </c>
      <c r="G43" s="992">
        <f t="shared" si="10"/>
        <v>4.4631673132503203E-3</v>
      </c>
      <c r="H43" s="992">
        <f t="shared" si="14"/>
        <v>2.3564460755077584E-3</v>
      </c>
      <c r="I43" s="912">
        <v>3121</v>
      </c>
      <c r="J43" s="651">
        <v>114602</v>
      </c>
      <c r="K43" s="914">
        <v>1647.74</v>
      </c>
      <c r="L43" s="915">
        <f t="shared" si="11"/>
        <v>2.7233381616376676E-2</v>
      </c>
      <c r="M43" s="915">
        <f t="shared" si="16"/>
        <v>1.4377934067468281E-2</v>
      </c>
      <c r="N43" s="912">
        <v>853</v>
      </c>
      <c r="O43" s="912">
        <v>101306</v>
      </c>
      <c r="P43" s="914">
        <v>450.34</v>
      </c>
      <c r="Q43" s="992">
        <f t="shared" si="19"/>
        <v>8.4200343513710935E-3</v>
      </c>
      <c r="R43" s="992">
        <f t="shared" si="18"/>
        <v>4.4453438098434441E-3</v>
      </c>
      <c r="S43" s="915"/>
      <c r="T43" s="915"/>
      <c r="U43" s="992">
        <f t="shared" si="6"/>
        <v>8.6246693593434627E-3</v>
      </c>
      <c r="V43" s="992">
        <f t="shared" si="7"/>
        <v>1.6336065121503134E-2</v>
      </c>
      <c r="W43" s="988">
        <f t="shared" si="8"/>
        <v>4142</v>
      </c>
      <c r="X43" s="956">
        <f t="shared" si="9"/>
        <v>4142000</v>
      </c>
    </row>
    <row r="44" spans="3:29" hidden="1">
      <c r="C44" s="651"/>
      <c r="D44" s="912"/>
      <c r="E44" s="912"/>
      <c r="F44" s="914"/>
      <c r="G44" s="992"/>
      <c r="H44" s="992"/>
      <c r="I44" s="912"/>
      <c r="J44" s="651"/>
      <c r="K44" s="914"/>
      <c r="L44" s="915"/>
      <c r="M44" s="915"/>
      <c r="N44" s="912"/>
      <c r="O44" s="912"/>
      <c r="P44" s="914"/>
      <c r="Q44" s="992"/>
      <c r="R44" s="992"/>
      <c r="S44" s="915"/>
      <c r="T44" s="915"/>
      <c r="U44" s="992"/>
      <c r="V44" s="992"/>
      <c r="W44" s="988"/>
    </row>
    <row r="45" spans="3:29" s="665" customFormat="1">
      <c r="C45" s="651" t="s">
        <v>953</v>
      </c>
      <c r="D45" s="912">
        <v>182</v>
      </c>
      <c r="E45" s="912">
        <v>57026.79</v>
      </c>
      <c r="F45" s="916">
        <v>95.86</v>
      </c>
      <c r="G45" s="992">
        <f t="shared" si="10"/>
        <v>3.19148245938444E-3</v>
      </c>
      <c r="H45" s="992">
        <f t="shared" si="14"/>
        <v>1.6809643327285299E-3</v>
      </c>
      <c r="I45" s="651">
        <v>1882</v>
      </c>
      <c r="J45" s="651">
        <v>113428</v>
      </c>
      <c r="K45" s="916">
        <v>991.27</v>
      </c>
      <c r="L45" s="915">
        <f t="shared" ref="L45:L56" si="20">I45/J45</f>
        <v>1.6592023133617802E-2</v>
      </c>
      <c r="M45" s="915">
        <f t="shared" ref="M45:M56" si="21">K45/J45</f>
        <v>8.7392001974821026E-3</v>
      </c>
      <c r="N45" s="651">
        <v>1170</v>
      </c>
      <c r="O45" s="912">
        <v>160961.67000000001</v>
      </c>
      <c r="P45" s="916">
        <v>616.25</v>
      </c>
      <c r="Q45" s="992">
        <f t="shared" ref="Q45:Q56" si="22">N45/O45</f>
        <v>7.2688112641972457E-3</v>
      </c>
      <c r="R45" s="992">
        <f t="shared" ref="R45:R56" si="23">P45/O45</f>
        <v>3.8285512321038911E-3</v>
      </c>
      <c r="S45" s="912">
        <f>D45+I45+N45</f>
        <v>3234</v>
      </c>
      <c r="T45" s="912">
        <f>E45+J45+O45</f>
        <v>331416.46000000002</v>
      </c>
      <c r="U45" s="992">
        <f t="shared" si="6"/>
        <v>5.1396964411483965E-3</v>
      </c>
      <c r="V45" s="992">
        <f t="shared" si="7"/>
        <v>9.7581152125033252E-3</v>
      </c>
      <c r="W45" s="988">
        <f t="shared" si="8"/>
        <v>3234</v>
      </c>
      <c r="X45" s="956">
        <f t="shared" si="9"/>
        <v>3234000</v>
      </c>
      <c r="Y45" s="911">
        <v>247365.40000000002</v>
      </c>
      <c r="Z45" s="993">
        <f t="shared" ref="Z45:Z56" si="24">X45/Y45</f>
        <v>13.073776688251469</v>
      </c>
      <c r="AC45" s="917"/>
    </row>
    <row r="46" spans="3:29" s="665" customFormat="1">
      <c r="C46" s="651" t="s">
        <v>954</v>
      </c>
      <c r="D46" s="912">
        <v>158</v>
      </c>
      <c r="E46" s="912">
        <v>35448.080000000002</v>
      </c>
      <c r="F46" s="916">
        <v>84.22</v>
      </c>
      <c r="G46" s="992">
        <f t="shared" si="10"/>
        <v>4.4572230710379799E-3</v>
      </c>
      <c r="H46" s="992">
        <f t="shared" si="14"/>
        <v>2.3758691584988521E-3</v>
      </c>
      <c r="I46" s="651">
        <v>2557</v>
      </c>
      <c r="J46" s="651">
        <v>107839</v>
      </c>
      <c r="K46" s="916">
        <v>1359.88</v>
      </c>
      <c r="L46" s="915">
        <f t="shared" si="20"/>
        <v>2.3711273287029738E-2</v>
      </c>
      <c r="M46" s="915">
        <f t="shared" si="21"/>
        <v>1.2610280139838092E-2</v>
      </c>
      <c r="N46" s="651">
        <v>806</v>
      </c>
      <c r="O46" s="912">
        <v>111293.84</v>
      </c>
      <c r="P46" s="916">
        <v>430.22</v>
      </c>
      <c r="Q46" s="992">
        <f t="shared" si="22"/>
        <v>7.2420899485542058E-3</v>
      </c>
      <c r="R46" s="992">
        <f t="shared" si="23"/>
        <v>3.8656227514478792E-3</v>
      </c>
      <c r="S46" s="912">
        <f t="shared" ref="S46:T56" si="25">D46+I46+N46</f>
        <v>3521</v>
      </c>
      <c r="T46" s="912">
        <f t="shared" si="25"/>
        <v>254580.92</v>
      </c>
      <c r="U46" s="992">
        <f t="shared" si="6"/>
        <v>7.3623742109188706E-3</v>
      </c>
      <c r="V46" s="992">
        <f t="shared" si="7"/>
        <v>1.3830573006021031E-2</v>
      </c>
      <c r="W46" s="988">
        <f t="shared" si="8"/>
        <v>3521</v>
      </c>
      <c r="X46" s="956">
        <f t="shared" si="9"/>
        <v>3521000</v>
      </c>
      <c r="Y46" s="911">
        <v>206934.82166666666</v>
      </c>
      <c r="Z46" s="993">
        <f t="shared" si="24"/>
        <v>17.01501937490092</v>
      </c>
      <c r="AC46" s="917"/>
    </row>
    <row r="47" spans="3:29" s="665" customFormat="1">
      <c r="C47" s="651" t="s">
        <v>955</v>
      </c>
      <c r="D47" s="912">
        <v>122</v>
      </c>
      <c r="E47" s="912">
        <v>34359.17</v>
      </c>
      <c r="F47" s="916">
        <v>64.489999999999995</v>
      </c>
      <c r="G47" s="992">
        <f t="shared" si="10"/>
        <v>3.5507260507165921E-3</v>
      </c>
      <c r="H47" s="992">
        <f t="shared" si="14"/>
        <v>1.8769370738583033E-3</v>
      </c>
      <c r="I47" s="651">
        <v>2187</v>
      </c>
      <c r="J47" s="651">
        <v>71824</v>
      </c>
      <c r="K47" s="916">
        <v>1156.01</v>
      </c>
      <c r="L47" s="915">
        <f t="shared" si="20"/>
        <v>3.0449431944753844E-2</v>
      </c>
      <c r="M47" s="915">
        <f t="shared" si="21"/>
        <v>1.6095037870349743E-2</v>
      </c>
      <c r="N47" s="651">
        <v>800</v>
      </c>
      <c r="O47" s="912">
        <v>157814.16</v>
      </c>
      <c r="P47" s="916">
        <v>422.86</v>
      </c>
      <c r="Q47" s="992">
        <f t="shared" si="22"/>
        <v>5.0692536081679866E-3</v>
      </c>
      <c r="R47" s="992">
        <f t="shared" si="23"/>
        <v>2.6794807259373937E-3</v>
      </c>
      <c r="S47" s="912">
        <f t="shared" si="25"/>
        <v>3109</v>
      </c>
      <c r="T47" s="912">
        <f t="shared" si="25"/>
        <v>263997.33</v>
      </c>
      <c r="U47" s="992">
        <f t="shared" si="6"/>
        <v>6.2249114413391983E-3</v>
      </c>
      <c r="V47" s="992">
        <f t="shared" si="7"/>
        <v>1.1776634256111605E-2</v>
      </c>
      <c r="W47" s="988">
        <f t="shared" si="8"/>
        <v>3109</v>
      </c>
      <c r="X47" s="956">
        <f t="shared" si="9"/>
        <v>3109000</v>
      </c>
      <c r="Y47" s="911">
        <v>232244.70299999998</v>
      </c>
      <c r="Z47" s="993">
        <f t="shared" si="24"/>
        <v>13.386742344775891</v>
      </c>
      <c r="AC47" s="917"/>
    </row>
    <row r="48" spans="3:29" s="665" customFormat="1">
      <c r="C48" s="651" t="s">
        <v>956</v>
      </c>
      <c r="D48" s="912">
        <v>160</v>
      </c>
      <c r="E48" s="912">
        <v>36886.699999999997</v>
      </c>
      <c r="F48" s="916">
        <v>84.32</v>
      </c>
      <c r="G48" s="992">
        <f t="shared" si="10"/>
        <v>4.3376067796793974E-3</v>
      </c>
      <c r="H48" s="992">
        <f t="shared" si="14"/>
        <v>2.285918772891042E-3</v>
      </c>
      <c r="I48" s="651">
        <v>2420</v>
      </c>
      <c r="J48" s="651">
        <v>73038</v>
      </c>
      <c r="K48" s="916">
        <v>1275.42</v>
      </c>
      <c r="L48" s="915">
        <f t="shared" si="20"/>
        <v>3.3133437388756536E-2</v>
      </c>
      <c r="M48" s="915">
        <f t="shared" si="21"/>
        <v>1.7462416824118952E-2</v>
      </c>
      <c r="N48" s="651">
        <v>778</v>
      </c>
      <c r="O48" s="912">
        <v>135536.35</v>
      </c>
      <c r="P48" s="916">
        <v>410.03</v>
      </c>
      <c r="Q48" s="992">
        <f t="shared" si="22"/>
        <v>5.7401575296959079E-3</v>
      </c>
      <c r="R48" s="992">
        <f t="shared" si="23"/>
        <v>3.0252400924180114E-3</v>
      </c>
      <c r="S48" s="912">
        <f t="shared" si="25"/>
        <v>3358</v>
      </c>
      <c r="T48" s="912">
        <f t="shared" si="25"/>
        <v>245461.05</v>
      </c>
      <c r="U48" s="992">
        <f t="shared" si="6"/>
        <v>7.209983009524322E-3</v>
      </c>
      <c r="V48" s="992">
        <f t="shared" si="7"/>
        <v>1.3680378210718158E-2</v>
      </c>
      <c r="W48" s="988">
        <f t="shared" si="8"/>
        <v>3358</v>
      </c>
      <c r="X48" s="956">
        <f t="shared" si="9"/>
        <v>3358000</v>
      </c>
      <c r="Y48" s="911">
        <v>232973.31666666668</v>
      </c>
      <c r="Z48" s="993">
        <f t="shared" si="24"/>
        <v>14.413667831344632</v>
      </c>
      <c r="AC48" s="917"/>
    </row>
    <row r="49" spans="1:26">
      <c r="C49" s="651" t="s">
        <v>957</v>
      </c>
      <c r="D49" s="912">
        <v>129</v>
      </c>
      <c r="E49" s="912">
        <v>43113.8</v>
      </c>
      <c r="F49" s="916">
        <v>65.94</v>
      </c>
      <c r="G49" s="992">
        <f t="shared" si="10"/>
        <v>2.9920814217257582E-3</v>
      </c>
      <c r="H49" s="992">
        <f t="shared" si="14"/>
        <v>1.5294406895240038E-3</v>
      </c>
      <c r="I49" s="651">
        <v>2549</v>
      </c>
      <c r="J49" s="651">
        <v>82775</v>
      </c>
      <c r="K49" s="916">
        <v>1302.9000000000001</v>
      </c>
      <c r="L49" s="915">
        <f t="shared" si="20"/>
        <v>3.0794321957112656E-2</v>
      </c>
      <c r="M49" s="915">
        <f t="shared" si="21"/>
        <v>1.5740259740259742E-2</v>
      </c>
      <c r="N49" s="651">
        <v>974</v>
      </c>
      <c r="O49" s="912">
        <v>143602.54</v>
      </c>
      <c r="P49" s="916">
        <v>497.85</v>
      </c>
      <c r="Q49" s="992">
        <f t="shared" si="22"/>
        <v>6.7826098340600383E-3</v>
      </c>
      <c r="R49" s="992">
        <f t="shared" si="23"/>
        <v>3.466860683662002E-3</v>
      </c>
      <c r="S49" s="912">
        <f t="shared" si="25"/>
        <v>3652</v>
      </c>
      <c r="T49" s="912">
        <f t="shared" si="25"/>
        <v>269491.34000000003</v>
      </c>
      <c r="U49" s="992">
        <f t="shared" si="6"/>
        <v>6.9267160866838982E-3</v>
      </c>
      <c r="V49" s="992">
        <f t="shared" si="7"/>
        <v>1.3551455864963971E-2</v>
      </c>
      <c r="W49" s="988">
        <f t="shared" si="8"/>
        <v>3652</v>
      </c>
      <c r="X49" s="956">
        <f t="shared" si="9"/>
        <v>3652000</v>
      </c>
      <c r="Y49" s="911">
        <v>231355.22666666668</v>
      </c>
      <c r="Z49" s="993">
        <f t="shared" si="24"/>
        <v>15.785249603466921</v>
      </c>
    </row>
    <row r="50" spans="1:26">
      <c r="C50" s="651" t="s">
        <v>1019</v>
      </c>
      <c r="D50" s="912">
        <v>136</v>
      </c>
      <c r="E50" s="912">
        <v>51977.09</v>
      </c>
      <c r="F50" s="916">
        <v>66.239999999999995</v>
      </c>
      <c r="G50" s="992">
        <f t="shared" si="10"/>
        <v>2.6165374013820322E-3</v>
      </c>
      <c r="H50" s="992">
        <f t="shared" si="14"/>
        <v>1.2744076284378367E-3</v>
      </c>
      <c r="I50" s="651">
        <v>2561</v>
      </c>
      <c r="J50" s="651">
        <v>85193</v>
      </c>
      <c r="K50" s="916">
        <v>1247.29</v>
      </c>
      <c r="L50" s="915">
        <f t="shared" si="20"/>
        <v>3.0061155259234914E-2</v>
      </c>
      <c r="M50" s="915">
        <f t="shared" si="21"/>
        <v>1.4640756869695867E-2</v>
      </c>
      <c r="N50" s="651">
        <v>756</v>
      </c>
      <c r="O50" s="912">
        <v>153554</v>
      </c>
      <c r="P50" s="916">
        <v>368.19</v>
      </c>
      <c r="Q50" s="992">
        <f t="shared" si="22"/>
        <v>4.9233494405876762E-3</v>
      </c>
      <c r="R50" s="992">
        <f t="shared" si="23"/>
        <v>2.3977884001719265E-3</v>
      </c>
      <c r="S50" s="912">
        <f t="shared" si="25"/>
        <v>3453</v>
      </c>
      <c r="T50" s="912">
        <f t="shared" si="25"/>
        <v>290724.08999999997</v>
      </c>
      <c r="U50" s="992">
        <f t="shared" si="6"/>
        <v>5.7845911565154442E-3</v>
      </c>
      <c r="V50" s="992">
        <f t="shared" si="7"/>
        <v>1.1877240719886682E-2</v>
      </c>
      <c r="W50" s="988">
        <f t="shared" si="8"/>
        <v>3453</v>
      </c>
      <c r="X50" s="956">
        <f t="shared" si="9"/>
        <v>3453000</v>
      </c>
      <c r="Y50" s="911">
        <v>178357.34</v>
      </c>
      <c r="Z50" s="993">
        <f t="shared" si="24"/>
        <v>19.360010639315433</v>
      </c>
    </row>
    <row r="51" spans="1:26">
      <c r="C51" s="651" t="s">
        <v>1020</v>
      </c>
      <c r="D51" s="912">
        <v>159</v>
      </c>
      <c r="E51" s="912">
        <v>35436.03</v>
      </c>
      <c r="F51" s="916">
        <v>76.41</v>
      </c>
      <c r="G51" s="992">
        <f t="shared" si="10"/>
        <v>4.4869586124630777E-3</v>
      </c>
      <c r="H51" s="992">
        <f t="shared" si="14"/>
        <v>2.1562799218761241E-3</v>
      </c>
      <c r="I51" s="651">
        <v>2017</v>
      </c>
      <c r="J51" s="651">
        <v>81142</v>
      </c>
      <c r="K51" s="916">
        <v>969.21</v>
      </c>
      <c r="L51" s="915">
        <f t="shared" si="20"/>
        <v>2.4857656947080427E-2</v>
      </c>
      <c r="M51" s="915">
        <f t="shared" si="21"/>
        <v>1.1944615612136748E-2</v>
      </c>
      <c r="N51" s="651">
        <v>792</v>
      </c>
      <c r="O51" s="912">
        <v>99406.93</v>
      </c>
      <c r="P51" s="916">
        <v>380.57</v>
      </c>
      <c r="Q51" s="992">
        <f t="shared" si="22"/>
        <v>7.9672513777459993E-3</v>
      </c>
      <c r="R51" s="992">
        <f t="shared" si="23"/>
        <v>3.8284051222585791E-3</v>
      </c>
      <c r="S51" s="912">
        <f t="shared" si="25"/>
        <v>2968</v>
      </c>
      <c r="T51" s="912">
        <f t="shared" si="25"/>
        <v>215984.96</v>
      </c>
      <c r="U51" s="992">
        <f t="shared" si="6"/>
        <v>6.6031912592432367E-3</v>
      </c>
      <c r="V51" s="992">
        <f t="shared" si="7"/>
        <v>1.3741697570053026E-2</v>
      </c>
      <c r="W51" s="988">
        <f t="shared" si="8"/>
        <v>2968</v>
      </c>
      <c r="X51" s="956">
        <f t="shared" si="9"/>
        <v>2968000</v>
      </c>
      <c r="Y51" s="911">
        <v>205874.74766666666</v>
      </c>
      <c r="Z51" s="993">
        <f t="shared" si="24"/>
        <v>14.416532545339223</v>
      </c>
    </row>
    <row r="52" spans="1:26">
      <c r="C52" s="651" t="s">
        <v>960</v>
      </c>
      <c r="D52" s="912">
        <v>119</v>
      </c>
      <c r="E52" s="912">
        <v>45909.61</v>
      </c>
      <c r="F52" s="916">
        <v>69.72</v>
      </c>
      <c r="G52" s="992">
        <f t="shared" si="10"/>
        <v>2.592049899792222E-3</v>
      </c>
      <c r="H52" s="992">
        <f t="shared" si="14"/>
        <v>1.5186362942312078E-3</v>
      </c>
      <c r="I52" s="651">
        <v>1867</v>
      </c>
      <c r="J52" s="651">
        <v>100667</v>
      </c>
      <c r="K52" s="916">
        <v>1073.2</v>
      </c>
      <c r="L52" s="915">
        <f t="shared" si="20"/>
        <v>1.8546296204317206E-2</v>
      </c>
      <c r="M52" s="915">
        <f t="shared" si="21"/>
        <v>1.0660891851351486E-2</v>
      </c>
      <c r="N52" s="651">
        <v>808</v>
      </c>
      <c r="O52" s="912">
        <v>121680.09</v>
      </c>
      <c r="P52" s="916">
        <v>460.99</v>
      </c>
      <c r="Q52" s="992">
        <f t="shared" si="22"/>
        <v>6.640363267318425E-3</v>
      </c>
      <c r="R52" s="992">
        <f t="shared" si="23"/>
        <v>3.7885409190607931E-3</v>
      </c>
      <c r="S52" s="912">
        <f t="shared" si="25"/>
        <v>2794</v>
      </c>
      <c r="T52" s="912">
        <f t="shared" si="25"/>
        <v>268256.69999999995</v>
      </c>
      <c r="U52" s="992">
        <f t="shared" si="6"/>
        <v>5.9790118942043211E-3</v>
      </c>
      <c r="V52" s="992">
        <f t="shared" si="7"/>
        <v>1.0415396894094353E-2</v>
      </c>
      <c r="W52" s="988">
        <f t="shared" si="8"/>
        <v>2794</v>
      </c>
      <c r="X52" s="956">
        <f t="shared" si="9"/>
        <v>2794000</v>
      </c>
      <c r="Y52" s="911">
        <v>222396.03445833334</v>
      </c>
      <c r="Z52" s="993">
        <f t="shared" si="24"/>
        <v>12.563173650128485</v>
      </c>
    </row>
    <row r="53" spans="1:26">
      <c r="C53" s="651" t="s">
        <v>961</v>
      </c>
      <c r="D53" s="912">
        <v>149</v>
      </c>
      <c r="E53" s="912">
        <v>39532.400000000001</v>
      </c>
      <c r="F53" s="916">
        <v>74.58</v>
      </c>
      <c r="G53" s="992">
        <f t="shared" si="10"/>
        <v>3.7690603150833239E-3</v>
      </c>
      <c r="H53" s="992">
        <f t="shared" si="14"/>
        <v>1.8865538140866731E-3</v>
      </c>
      <c r="I53" s="651">
        <v>1317</v>
      </c>
      <c r="J53" s="651">
        <v>80077</v>
      </c>
      <c r="K53" s="916">
        <v>659.21</v>
      </c>
      <c r="L53" s="915">
        <f t="shared" si="20"/>
        <v>1.6446670080047954E-2</v>
      </c>
      <c r="M53" s="915">
        <f t="shared" si="21"/>
        <v>8.232201506050427E-3</v>
      </c>
      <c r="N53" s="651">
        <v>779</v>
      </c>
      <c r="O53" s="912">
        <v>151940.17000000001</v>
      </c>
      <c r="P53" s="916">
        <v>389.92</v>
      </c>
      <c r="Q53" s="992">
        <f t="shared" si="22"/>
        <v>5.1270180887648077E-3</v>
      </c>
      <c r="R53" s="992">
        <f t="shared" si="23"/>
        <v>2.566273290335268E-3</v>
      </c>
      <c r="S53" s="912">
        <f t="shared" si="25"/>
        <v>2245</v>
      </c>
      <c r="T53" s="912">
        <f t="shared" si="25"/>
        <v>271549.57</v>
      </c>
      <c r="U53" s="992">
        <f t="shared" si="6"/>
        <v>4.1381394932792567E-3</v>
      </c>
      <c r="V53" s="992">
        <f t="shared" si="7"/>
        <v>8.2673671698320125E-3</v>
      </c>
      <c r="W53" s="988">
        <f t="shared" si="8"/>
        <v>2245</v>
      </c>
      <c r="X53" s="956">
        <f t="shared" si="9"/>
        <v>2245000</v>
      </c>
      <c r="Y53" s="911">
        <v>229546.44075000001</v>
      </c>
      <c r="Z53" s="993">
        <f t="shared" si="24"/>
        <v>9.7801560009594706</v>
      </c>
    </row>
    <row r="54" spans="1:26">
      <c r="C54" s="651" t="s">
        <v>962</v>
      </c>
      <c r="D54" s="912">
        <v>117</v>
      </c>
      <c r="E54" s="912">
        <v>43472.25</v>
      </c>
      <c r="F54" s="916">
        <v>58.27</v>
      </c>
      <c r="G54" s="992">
        <f t="shared" si="10"/>
        <v>2.6913720821903626E-3</v>
      </c>
      <c r="H54" s="992">
        <f t="shared" si="14"/>
        <v>1.3403953096515595E-3</v>
      </c>
      <c r="I54" s="651">
        <v>1327</v>
      </c>
      <c r="J54" s="651">
        <v>66000</v>
      </c>
      <c r="K54" s="916">
        <v>660.87</v>
      </c>
      <c r="L54" s="915">
        <f t="shared" si="20"/>
        <v>2.0106060606060606E-2</v>
      </c>
      <c r="M54" s="915">
        <f t="shared" si="21"/>
        <v>1.0013181818181819E-2</v>
      </c>
      <c r="N54" s="651">
        <v>643</v>
      </c>
      <c r="O54" s="912">
        <v>123661</v>
      </c>
      <c r="P54" s="916">
        <v>320.23</v>
      </c>
      <c r="Q54" s="992">
        <f t="shared" si="22"/>
        <v>5.1996991775903481E-3</v>
      </c>
      <c r="R54" s="992">
        <f t="shared" si="23"/>
        <v>2.5895795764226395E-3</v>
      </c>
      <c r="S54" s="912">
        <f t="shared" si="25"/>
        <v>2087</v>
      </c>
      <c r="T54" s="912">
        <f t="shared" si="25"/>
        <v>233133.25</v>
      </c>
      <c r="U54" s="992">
        <f t="shared" si="6"/>
        <v>4.4582658200835786E-3</v>
      </c>
      <c r="V54" s="992">
        <f t="shared" si="7"/>
        <v>8.9519620217193389E-3</v>
      </c>
      <c r="W54" s="988">
        <f t="shared" si="8"/>
        <v>2087</v>
      </c>
      <c r="X54" s="956">
        <f t="shared" si="9"/>
        <v>2087000</v>
      </c>
      <c r="Y54" s="911">
        <v>206875.81258333332</v>
      </c>
      <c r="Z54" s="993">
        <f t="shared" si="24"/>
        <v>10.088177897352397</v>
      </c>
    </row>
    <row r="55" spans="1:26">
      <c r="C55" s="651" t="s">
        <v>963</v>
      </c>
      <c r="D55" s="912">
        <v>142</v>
      </c>
      <c r="E55" s="912">
        <v>52586.46</v>
      </c>
      <c r="F55" s="916">
        <v>70.37</v>
      </c>
      <c r="G55" s="992">
        <f t="shared" si="10"/>
        <v>2.7003148719271083E-3</v>
      </c>
      <c r="H55" s="992">
        <f t="shared" si="14"/>
        <v>1.3381771657571171E-3</v>
      </c>
      <c r="I55" s="651">
        <v>1822</v>
      </c>
      <c r="J55" s="651">
        <v>63765</v>
      </c>
      <c r="K55" s="916">
        <v>902.86</v>
      </c>
      <c r="L55" s="915">
        <f t="shared" si="20"/>
        <v>2.8573668940641419E-2</v>
      </c>
      <c r="M55" s="915">
        <f t="shared" si="21"/>
        <v>1.4159178232572728E-2</v>
      </c>
      <c r="N55" s="651">
        <v>836</v>
      </c>
      <c r="O55" s="651">
        <v>114249</v>
      </c>
      <c r="P55" s="916">
        <v>414.26</v>
      </c>
      <c r="Q55" s="992">
        <f t="shared" si="22"/>
        <v>7.3173506989120257E-3</v>
      </c>
      <c r="R55" s="992">
        <f t="shared" si="23"/>
        <v>3.6259398331714063E-3</v>
      </c>
      <c r="S55" s="912">
        <f t="shared" si="25"/>
        <v>2800</v>
      </c>
      <c r="T55" s="912">
        <f t="shared" si="25"/>
        <v>230600.46</v>
      </c>
      <c r="U55" s="992">
        <f t="shared" si="6"/>
        <v>6.016857034890564E-3</v>
      </c>
      <c r="V55" s="992">
        <f t="shared" si="7"/>
        <v>1.2142213419695694E-2</v>
      </c>
      <c r="W55" s="988">
        <f t="shared" si="8"/>
        <v>2800</v>
      </c>
      <c r="X55" s="956">
        <f t="shared" si="9"/>
        <v>2800000</v>
      </c>
      <c r="Y55" s="911">
        <v>172335.19591666665</v>
      </c>
      <c r="Z55" s="993">
        <f t="shared" si="24"/>
        <v>16.247406602618486</v>
      </c>
    </row>
    <row r="56" spans="1:26">
      <c r="C56" s="651" t="s">
        <v>964</v>
      </c>
      <c r="D56" s="912">
        <v>101</v>
      </c>
      <c r="E56" s="912">
        <v>43315.18</v>
      </c>
      <c r="F56" s="916">
        <v>49.55</v>
      </c>
      <c r="G56" s="992">
        <f t="shared" si="10"/>
        <v>2.3317460530003567E-3</v>
      </c>
      <c r="H56" s="992">
        <f t="shared" si="14"/>
        <v>1.1439407616452245E-3</v>
      </c>
      <c r="I56" s="651">
        <v>2001</v>
      </c>
      <c r="J56" s="651">
        <v>45172</v>
      </c>
      <c r="K56" s="916">
        <v>981.74</v>
      </c>
      <c r="L56" s="915">
        <f t="shared" si="20"/>
        <v>4.4297352342158862E-2</v>
      </c>
      <c r="M56" s="915">
        <f t="shared" si="21"/>
        <v>2.1733374656867085E-2</v>
      </c>
      <c r="N56" s="651">
        <v>855</v>
      </c>
      <c r="O56" s="651">
        <v>137312</v>
      </c>
      <c r="P56" s="916">
        <v>419.49</v>
      </c>
      <c r="Q56" s="992">
        <f t="shared" si="22"/>
        <v>6.2266954089955718E-3</v>
      </c>
      <c r="R56" s="992">
        <f t="shared" si="23"/>
        <v>3.0550134001398276E-3</v>
      </c>
      <c r="S56" s="912">
        <f t="shared" si="25"/>
        <v>2957</v>
      </c>
      <c r="T56" s="912">
        <f t="shared" si="25"/>
        <v>225799.18</v>
      </c>
      <c r="U56" s="992">
        <f t="shared" si="6"/>
        <v>6.4250897633906373E-3</v>
      </c>
      <c r="V56" s="992">
        <f t="shared" si="7"/>
        <v>1.3095707433481379E-2</v>
      </c>
      <c r="W56" s="988">
        <f t="shared" si="8"/>
        <v>2957</v>
      </c>
      <c r="X56" s="956">
        <f t="shared" si="9"/>
        <v>2957000</v>
      </c>
      <c r="Y56" s="911">
        <v>203350.95333333334</v>
      </c>
      <c r="Z56" s="993">
        <f t="shared" si="24"/>
        <v>14.541362858293951</v>
      </c>
    </row>
    <row r="57" spans="1:26">
      <c r="A57" s="881" t="s">
        <v>716</v>
      </c>
      <c r="C57" s="994"/>
      <c r="D57" s="995"/>
      <c r="E57" s="995"/>
      <c r="F57" s="996"/>
      <c r="G57" s="997"/>
      <c r="H57" s="997"/>
      <c r="I57" s="998"/>
      <c r="J57" s="998"/>
      <c r="K57" s="996"/>
      <c r="L57" s="999"/>
      <c r="M57" s="999"/>
      <c r="N57" s="998"/>
      <c r="O57" s="998"/>
      <c r="P57" s="996"/>
      <c r="Q57" s="997"/>
      <c r="R57" s="997"/>
      <c r="S57" s="995"/>
      <c r="T57" s="995"/>
      <c r="U57" s="997"/>
      <c r="V57" s="1000"/>
      <c r="W57" s="988"/>
      <c r="Y57" s="911"/>
      <c r="Z57" s="993"/>
    </row>
    <row r="58" spans="1:26" s="486" customFormat="1">
      <c r="A58" t="s">
        <v>240</v>
      </c>
      <c r="C58" s="651" t="s">
        <v>966</v>
      </c>
      <c r="D58" s="1001">
        <v>102</v>
      </c>
      <c r="E58" s="1001">
        <v>41397</v>
      </c>
      <c r="F58" s="1002">
        <v>49.55</v>
      </c>
      <c r="G58" s="992">
        <f t="shared" ref="G58:G59" si="26">D58/E58</f>
        <v>2.4639466628016524E-3</v>
      </c>
      <c r="H58" s="992">
        <f t="shared" ref="H58:H59" si="27">F58/E58</f>
        <v>1.1969466386453124E-3</v>
      </c>
      <c r="I58" s="1001">
        <v>1691</v>
      </c>
      <c r="J58" s="1001">
        <v>54489</v>
      </c>
      <c r="K58" s="1002">
        <v>821.52</v>
      </c>
      <c r="L58" s="915">
        <f t="shared" ref="L58:L59" si="28">I58/J58</f>
        <v>3.1033786635834757E-2</v>
      </c>
      <c r="M58" s="915">
        <f t="shared" ref="M58:M59" si="29">K58/J58</f>
        <v>1.5076804492649892E-2</v>
      </c>
      <c r="N58" s="1001">
        <v>890</v>
      </c>
      <c r="O58" s="1001">
        <v>118668</v>
      </c>
      <c r="P58" s="1002">
        <v>432.38</v>
      </c>
      <c r="Q58" s="992">
        <f t="shared" ref="Q58:Q59" si="30">N58/O58</f>
        <v>7.4999157312839182E-3</v>
      </c>
      <c r="R58" s="992">
        <f t="shared" ref="R58:R59" si="31">P58/O58</f>
        <v>3.6436107459466749E-3</v>
      </c>
      <c r="S58" s="912">
        <f t="shared" ref="S58:T59" si="32">D58+I58+N58</f>
        <v>2683</v>
      </c>
      <c r="T58" s="912">
        <f t="shared" si="32"/>
        <v>214554</v>
      </c>
      <c r="U58" s="992">
        <f t="shared" ref="U58:U59" si="33">((F58+K58+P58)/(E58+J58+O58))</f>
        <v>6.0751605656384862E-3</v>
      </c>
      <c r="V58" s="992">
        <f t="shared" ref="V58:V59" si="34">((D58+I58+N58)/(E58+J58+O58))</f>
        <v>1.2505010393653811E-2</v>
      </c>
      <c r="W58" s="988">
        <f t="shared" ref="W58:W68" si="35">N58+I58+D58</f>
        <v>2683</v>
      </c>
      <c r="X58" s="956">
        <f t="shared" si="9"/>
        <v>2683000</v>
      </c>
      <c r="Y58" s="911">
        <v>157258.49583333332</v>
      </c>
      <c r="Z58" s="993">
        <f t="shared" ref="Z58:Z68" si="36">X58/Y58</f>
        <v>17.061081411102354</v>
      </c>
    </row>
    <row r="59" spans="1:26">
      <c r="C59" s="651" t="s">
        <v>967</v>
      </c>
      <c r="D59" s="1001">
        <v>150</v>
      </c>
      <c r="E59" s="1001">
        <v>30186.61</v>
      </c>
      <c r="F59" s="1002">
        <v>71.48</v>
      </c>
      <c r="G59" s="992">
        <f t="shared" si="26"/>
        <v>4.9690906001038206E-3</v>
      </c>
      <c r="H59" s="992">
        <f t="shared" si="27"/>
        <v>2.3679373073028074E-3</v>
      </c>
      <c r="I59" s="1001">
        <v>1893</v>
      </c>
      <c r="J59" s="1001">
        <v>50616.82</v>
      </c>
      <c r="K59" s="1002">
        <v>901.96</v>
      </c>
      <c r="L59" s="915">
        <f t="shared" si="28"/>
        <v>3.7398635473346604E-2</v>
      </c>
      <c r="M59" s="915">
        <f t="shared" si="29"/>
        <v>1.7819373085863555E-2</v>
      </c>
      <c r="N59" s="1001">
        <v>829</v>
      </c>
      <c r="O59" s="1001">
        <v>103911</v>
      </c>
      <c r="P59" s="1002">
        <v>395</v>
      </c>
      <c r="Q59" s="992">
        <f t="shared" si="30"/>
        <v>7.9779811569516221E-3</v>
      </c>
      <c r="R59" s="992">
        <f t="shared" si="31"/>
        <v>3.8013299843134992E-3</v>
      </c>
      <c r="S59" s="912">
        <f t="shared" si="32"/>
        <v>2872</v>
      </c>
      <c r="T59" s="912">
        <f t="shared" si="32"/>
        <v>184714.43</v>
      </c>
      <c r="U59" s="992">
        <f t="shared" si="33"/>
        <v>7.4084087529057699E-3</v>
      </c>
      <c r="V59" s="992">
        <f t="shared" si="34"/>
        <v>1.5548325055059316E-2</v>
      </c>
      <c r="W59" s="988">
        <f t="shared" si="35"/>
        <v>2872</v>
      </c>
      <c r="X59" s="956">
        <f t="shared" si="9"/>
        <v>2872000</v>
      </c>
      <c r="Y59" s="956">
        <v>162692.98000000001</v>
      </c>
      <c r="Z59" s="993">
        <f t="shared" si="36"/>
        <v>17.652882134189195</v>
      </c>
    </row>
    <row r="60" spans="1:26">
      <c r="C60" s="651" t="s">
        <v>968</v>
      </c>
      <c r="D60" s="1001">
        <v>105</v>
      </c>
      <c r="E60" s="1001">
        <v>36498.589999999997</v>
      </c>
      <c r="F60" s="1002">
        <v>50.03</v>
      </c>
      <c r="G60" s="992">
        <v>2.8768234608515016E-3</v>
      </c>
      <c r="H60" s="992">
        <v>1.3707378832990536E-3</v>
      </c>
      <c r="I60" s="1001">
        <v>2632</v>
      </c>
      <c r="J60" s="1001">
        <v>89040</v>
      </c>
      <c r="K60" s="1002">
        <v>1254.0899999999999</v>
      </c>
      <c r="L60" s="915">
        <v>2.9559748427672956E-2</v>
      </c>
      <c r="M60" s="915">
        <v>1.4084568733153637E-2</v>
      </c>
      <c r="N60" s="1001">
        <v>1154</v>
      </c>
      <c r="O60" s="1001">
        <v>91558</v>
      </c>
      <c r="P60" s="1002">
        <v>549.86</v>
      </c>
      <c r="Q60" s="992">
        <v>1.2604032416610235E-2</v>
      </c>
      <c r="R60" s="992">
        <v>6.0055920837065032E-3</v>
      </c>
      <c r="S60" s="912">
        <v>3891</v>
      </c>
      <c r="T60" s="912">
        <v>217096.59</v>
      </c>
      <c r="U60" s="992">
        <v>8.5398854030825644E-3</v>
      </c>
      <c r="V60" s="992">
        <v>1.792289782165625E-2</v>
      </c>
      <c r="W60" s="988">
        <f t="shared" si="35"/>
        <v>3891</v>
      </c>
      <c r="X60" s="956">
        <f t="shared" si="9"/>
        <v>3891000</v>
      </c>
      <c r="Y60" s="985">
        <v>150371.86333333334</v>
      </c>
      <c r="Z60" s="993">
        <f t="shared" si="36"/>
        <v>25.875851464144699</v>
      </c>
    </row>
    <row r="61" spans="1:26">
      <c r="C61" s="651" t="s">
        <v>969</v>
      </c>
      <c r="D61" s="1001">
        <v>110</v>
      </c>
      <c r="E61" s="1001">
        <v>32178.83</v>
      </c>
      <c r="F61" s="1002">
        <v>51.91</v>
      </c>
      <c r="G61" s="992">
        <f t="shared" ref="G61:G68" si="37">D61/E61</f>
        <v>3.4183965047828026E-3</v>
      </c>
      <c r="H61" s="992">
        <f t="shared" ref="H61:H68" si="38">F61/E61</f>
        <v>1.6131723869388661E-3</v>
      </c>
      <c r="I61" s="1001">
        <v>2141</v>
      </c>
      <c r="J61" s="1001">
        <v>58362.75</v>
      </c>
      <c r="K61" s="1002">
        <v>1010.42</v>
      </c>
      <c r="L61" s="915">
        <f t="shared" ref="L61:L68" si="39">I61/J61</f>
        <v>3.6684357745308441E-2</v>
      </c>
      <c r="M61" s="915">
        <f t="shared" ref="M61:M68" si="40">K61/J61</f>
        <v>1.7312755139194093E-2</v>
      </c>
      <c r="N61" s="1001">
        <v>1005</v>
      </c>
      <c r="O61" s="1001">
        <v>112444</v>
      </c>
      <c r="P61" s="1002">
        <v>474.3</v>
      </c>
      <c r="Q61" s="992">
        <f t="shared" ref="Q61:Q68" si="41">N61/O61</f>
        <v>8.9377823627761373E-3</v>
      </c>
      <c r="R61" s="992">
        <f t="shared" ref="R61:R68" si="42">P61/O61</f>
        <v>4.2180996762833057E-3</v>
      </c>
      <c r="S61" s="912">
        <f t="shared" ref="S61:T68" si="43">D61+I61+N61</f>
        <v>3256</v>
      </c>
      <c r="T61" s="912">
        <f t="shared" si="43"/>
        <v>202985.58000000002</v>
      </c>
      <c r="U61" s="992">
        <f t="shared" ref="U61:U68" si="44">((F61+K61+P61)/(E61+J61+O61))</f>
        <v>7.5701436525688164E-3</v>
      </c>
      <c r="V61" s="992">
        <f t="shared" ref="V61:V68" si="45">((D61+I61+N61)/(E61+J61+O61))</f>
        <v>1.6040548299046661E-2</v>
      </c>
      <c r="W61" s="988">
        <f t="shared" si="35"/>
        <v>3256</v>
      </c>
      <c r="X61" s="956">
        <f t="shared" si="9"/>
        <v>3256000</v>
      </c>
      <c r="Y61" s="985">
        <v>175263.78333333335</v>
      </c>
      <c r="Z61" s="993">
        <f t="shared" si="36"/>
        <v>18.577711481940504</v>
      </c>
    </row>
    <row r="62" spans="1:26">
      <c r="C62" s="651" t="s">
        <v>970</v>
      </c>
      <c r="D62" s="1001">
        <v>142</v>
      </c>
      <c r="E62" s="1001">
        <v>42791.100000000006</v>
      </c>
      <c r="F62" s="1002">
        <v>92.41</v>
      </c>
      <c r="G62" s="992">
        <f t="shared" si="37"/>
        <v>3.3184470602531831E-3</v>
      </c>
      <c r="H62" s="992">
        <f t="shared" si="38"/>
        <v>2.1595612171689902E-3</v>
      </c>
      <c r="I62" s="1001">
        <v>2743</v>
      </c>
      <c r="J62" s="1001">
        <v>86870.61</v>
      </c>
      <c r="K62" s="1002">
        <v>1763.97</v>
      </c>
      <c r="L62" s="915">
        <f t="shared" si="39"/>
        <v>3.157569631432311E-2</v>
      </c>
      <c r="M62" s="915">
        <f t="shared" si="40"/>
        <v>2.0305716743556884E-2</v>
      </c>
      <c r="N62" s="1001">
        <v>777</v>
      </c>
      <c r="O62" s="1001">
        <v>130428.15</v>
      </c>
      <c r="P62" s="1002">
        <v>562.07000000000005</v>
      </c>
      <c r="Q62" s="992">
        <f t="shared" si="41"/>
        <v>5.9573029288539324E-3</v>
      </c>
      <c r="R62" s="992">
        <f t="shared" si="42"/>
        <v>4.3094224674658042E-3</v>
      </c>
      <c r="S62" s="912">
        <f t="shared" si="43"/>
        <v>3662</v>
      </c>
      <c r="T62" s="912">
        <f t="shared" si="43"/>
        <v>260089.86</v>
      </c>
      <c r="U62" s="992">
        <f t="shared" si="44"/>
        <v>9.2985170586811824E-3</v>
      </c>
      <c r="V62" s="992">
        <f t="shared" si="45"/>
        <v>1.4079749206678031E-2</v>
      </c>
      <c r="W62" s="988">
        <f t="shared" si="35"/>
        <v>3662</v>
      </c>
      <c r="X62" s="956">
        <f t="shared" si="9"/>
        <v>3662000</v>
      </c>
      <c r="Y62" s="985">
        <f>Electricity!X75</f>
        <v>211660.26333333334</v>
      </c>
      <c r="Z62" s="993">
        <f t="shared" si="36"/>
        <v>17.30131080028421</v>
      </c>
    </row>
    <row r="63" spans="1:26">
      <c r="C63" s="651" t="s">
        <v>971</v>
      </c>
      <c r="D63" s="1001">
        <v>116</v>
      </c>
      <c r="E63" s="1001">
        <v>39889.81</v>
      </c>
      <c r="F63" s="1002">
        <v>59.79</v>
      </c>
      <c r="G63" s="992">
        <f t="shared" si="37"/>
        <v>2.9080108428693944E-3</v>
      </c>
      <c r="H63" s="992">
        <f t="shared" si="38"/>
        <v>1.4988790370272509E-3</v>
      </c>
      <c r="I63" s="1001">
        <v>2719</v>
      </c>
      <c r="J63" s="1001">
        <v>82245.350000000006</v>
      </c>
      <c r="K63" s="1002">
        <v>1401.52</v>
      </c>
      <c r="L63" s="915">
        <f t="shared" si="39"/>
        <v>3.3059619783975626E-2</v>
      </c>
      <c r="M63" s="915">
        <f t="shared" si="40"/>
        <v>1.7040720235247341E-2</v>
      </c>
      <c r="N63" s="1001">
        <v>431</v>
      </c>
      <c r="O63" s="1001">
        <v>99563</v>
      </c>
      <c r="P63" s="1002">
        <v>222</v>
      </c>
      <c r="Q63" s="992">
        <f t="shared" si="41"/>
        <v>4.3289173689021023E-3</v>
      </c>
      <c r="R63" s="992">
        <f t="shared" si="42"/>
        <v>2.2297439811978345E-3</v>
      </c>
      <c r="S63" s="912">
        <f t="shared" si="43"/>
        <v>3266</v>
      </c>
      <c r="T63" s="912">
        <f t="shared" si="43"/>
        <v>221698.16</v>
      </c>
      <c r="U63" s="992">
        <f t="shared" si="44"/>
        <v>7.5928009506258413E-3</v>
      </c>
      <c r="V63" s="992">
        <f t="shared" si="45"/>
        <v>1.4731741571513269E-2</v>
      </c>
      <c r="W63" s="988">
        <f t="shared" si="35"/>
        <v>3266</v>
      </c>
      <c r="X63" s="956">
        <f t="shared" si="9"/>
        <v>3266000</v>
      </c>
      <c r="Y63" s="985">
        <f>Electricity!X76</f>
        <v>194768.66666666666</v>
      </c>
      <c r="Z63" s="993">
        <f t="shared" si="36"/>
        <v>16.76861096754098</v>
      </c>
    </row>
    <row r="64" spans="1:26">
      <c r="C64" s="651" t="s">
        <v>972</v>
      </c>
      <c r="D64" s="1001">
        <v>155</v>
      </c>
      <c r="E64" s="1001">
        <v>45089.57</v>
      </c>
      <c r="F64" s="1002">
        <v>78.790000000000006</v>
      </c>
      <c r="G64" s="992">
        <f t="shared" si="37"/>
        <v>3.4376020884652483E-3</v>
      </c>
      <c r="H64" s="992">
        <f t="shared" si="38"/>
        <v>1.7474107648398512E-3</v>
      </c>
      <c r="I64" s="1001">
        <v>1768</v>
      </c>
      <c r="J64" s="1001">
        <v>61199.12</v>
      </c>
      <c r="K64" s="1002">
        <v>898.73</v>
      </c>
      <c r="L64" s="915">
        <f t="shared" si="39"/>
        <v>2.8889304290649929E-2</v>
      </c>
      <c r="M64" s="915">
        <f t="shared" si="40"/>
        <v>1.4685341880732925E-2</v>
      </c>
      <c r="N64" s="1001">
        <v>714</v>
      </c>
      <c r="O64" s="1001">
        <v>104078</v>
      </c>
      <c r="P64" s="1002">
        <v>362.95</v>
      </c>
      <c r="Q64" s="992">
        <f t="shared" si="41"/>
        <v>6.8602394358077594E-3</v>
      </c>
      <c r="R64" s="992">
        <f t="shared" si="42"/>
        <v>3.4872883798689443E-3</v>
      </c>
      <c r="S64" s="912">
        <f t="shared" si="43"/>
        <v>2637</v>
      </c>
      <c r="T64" s="912">
        <f t="shared" si="43"/>
        <v>210366.69</v>
      </c>
      <c r="U64" s="992">
        <f t="shared" si="44"/>
        <v>6.3720639422524547E-3</v>
      </c>
      <c r="V64" s="992">
        <f t="shared" si="45"/>
        <v>1.2535254512014236E-2</v>
      </c>
      <c r="W64" s="988">
        <f t="shared" si="35"/>
        <v>2637</v>
      </c>
      <c r="X64" s="956">
        <f t="shared" si="9"/>
        <v>2637000</v>
      </c>
      <c r="Y64" s="985">
        <f>Electricity!X77</f>
        <v>175411.07666666666</v>
      </c>
      <c r="Z64" s="993">
        <f t="shared" si="36"/>
        <v>15.033258161975063</v>
      </c>
    </row>
    <row r="65" spans="1:26">
      <c r="C65" s="651" t="s">
        <v>973</v>
      </c>
      <c r="D65" s="1001">
        <v>163</v>
      </c>
      <c r="E65" s="1001">
        <v>38069.949999999997</v>
      </c>
      <c r="F65" s="1002">
        <v>100</v>
      </c>
      <c r="G65" s="992">
        <f t="shared" si="37"/>
        <v>4.2815921744052731E-3</v>
      </c>
      <c r="H65" s="992">
        <f t="shared" si="38"/>
        <v>2.6267436652793086E-3</v>
      </c>
      <c r="I65" s="1001">
        <v>1054</v>
      </c>
      <c r="J65" s="1001">
        <v>68252.7</v>
      </c>
      <c r="K65" s="1002">
        <v>684.93</v>
      </c>
      <c r="L65" s="915">
        <f t="shared" si="39"/>
        <v>1.5442612526683927E-2</v>
      </c>
      <c r="M65" s="915">
        <f t="shared" si="40"/>
        <v>1.0035207398388635E-2</v>
      </c>
      <c r="N65" s="1001">
        <v>250</v>
      </c>
      <c r="O65" s="1001">
        <v>103984</v>
      </c>
      <c r="P65" s="1002">
        <v>177.22</v>
      </c>
      <c r="Q65" s="992">
        <f t="shared" si="41"/>
        <v>2.4042160332358826E-3</v>
      </c>
      <c r="R65" s="992">
        <f t="shared" si="42"/>
        <v>1.7043006616402523E-3</v>
      </c>
      <c r="S65" s="912">
        <f t="shared" si="43"/>
        <v>1467</v>
      </c>
      <c r="T65" s="912">
        <f t="shared" si="43"/>
        <v>210306.65</v>
      </c>
      <c r="U65" s="992">
        <f t="shared" si="44"/>
        <v>4.5749860976816471E-3</v>
      </c>
      <c r="V65" s="992">
        <f t="shared" si="45"/>
        <v>6.9755283534781234E-3</v>
      </c>
      <c r="W65" s="988">
        <f t="shared" si="35"/>
        <v>1467</v>
      </c>
      <c r="X65" s="956">
        <f t="shared" si="9"/>
        <v>1467000</v>
      </c>
      <c r="Y65" s="985">
        <f>Electricity!X78</f>
        <v>160336.92333333334</v>
      </c>
      <c r="Z65" s="993">
        <f t="shared" si="36"/>
        <v>9.149483284958464</v>
      </c>
    </row>
    <row r="66" spans="1:26">
      <c r="C66" s="651" t="s">
        <v>974</v>
      </c>
      <c r="D66" s="1001">
        <v>244</v>
      </c>
      <c r="E66" s="1001">
        <v>45677.760000000002</v>
      </c>
      <c r="F66" s="1002">
        <v>136.19</v>
      </c>
      <c r="G66" s="992">
        <f t="shared" si="37"/>
        <v>5.341768072690079E-3</v>
      </c>
      <c r="H66" s="992">
        <f t="shared" si="38"/>
        <v>2.9815384992609092E-3</v>
      </c>
      <c r="I66" s="1001">
        <v>1693</v>
      </c>
      <c r="J66" s="1001">
        <v>53997.88</v>
      </c>
      <c r="K66" s="1002">
        <v>944.97</v>
      </c>
      <c r="L66" s="915">
        <f t="shared" si="39"/>
        <v>3.1353082750656139E-2</v>
      </c>
      <c r="M66" s="915">
        <f t="shared" si="40"/>
        <v>1.750013148664355E-2</v>
      </c>
      <c r="N66" s="1001">
        <v>580</v>
      </c>
      <c r="O66" s="1001">
        <v>68143.64</v>
      </c>
      <c r="P66" s="1002">
        <v>323.74</v>
      </c>
      <c r="Q66" s="992">
        <f t="shared" si="41"/>
        <v>8.5114326149879869E-3</v>
      </c>
      <c r="R66" s="992">
        <f t="shared" si="42"/>
        <v>4.7508468875451914E-3</v>
      </c>
      <c r="S66" s="912">
        <f t="shared" si="43"/>
        <v>2517</v>
      </c>
      <c r="T66" s="912">
        <f t="shared" si="43"/>
        <v>167819.28</v>
      </c>
      <c r="U66" s="992">
        <f t="shared" si="44"/>
        <v>8.371505347895665E-3</v>
      </c>
      <c r="V66" s="992">
        <f t="shared" si="45"/>
        <v>1.4998276717669149E-2</v>
      </c>
      <c r="W66" s="988">
        <f t="shared" si="35"/>
        <v>2517</v>
      </c>
      <c r="X66" s="956">
        <f t="shared" si="9"/>
        <v>2517000</v>
      </c>
      <c r="Y66" s="985">
        <f>Electricity!X79</f>
        <v>131074.92462499999</v>
      </c>
      <c r="Z66" s="993">
        <f t="shared" si="36"/>
        <v>19.202757561761217</v>
      </c>
    </row>
    <row r="67" spans="1:26">
      <c r="C67" s="651" t="s">
        <v>975</v>
      </c>
      <c r="D67" s="1001">
        <v>211</v>
      </c>
      <c r="E67" s="1001">
        <v>44575.35</v>
      </c>
      <c r="F67" s="1002">
        <v>117.24</v>
      </c>
      <c r="G67" s="992">
        <f t="shared" si="37"/>
        <v>4.7335578969093907E-3</v>
      </c>
      <c r="H67" s="992">
        <f t="shared" si="38"/>
        <v>2.6301532124817866E-3</v>
      </c>
      <c r="I67" s="1001">
        <v>1658</v>
      </c>
      <c r="J67" s="1001">
        <v>62522.13</v>
      </c>
      <c r="K67" s="1002">
        <v>921.26</v>
      </c>
      <c r="L67" s="915">
        <f t="shared" si="39"/>
        <v>2.6518610290468352E-2</v>
      </c>
      <c r="M67" s="915">
        <f t="shared" si="40"/>
        <v>1.4734942651505956E-2</v>
      </c>
      <c r="N67" s="1001">
        <v>651</v>
      </c>
      <c r="O67" s="1001">
        <v>108707</v>
      </c>
      <c r="P67" s="1002">
        <v>361.73</v>
      </c>
      <c r="Q67" s="992">
        <f t="shared" si="41"/>
        <v>5.9885747927916327E-3</v>
      </c>
      <c r="R67" s="992">
        <f t="shared" si="42"/>
        <v>3.3275686018379683E-3</v>
      </c>
      <c r="S67" s="912">
        <f t="shared" si="43"/>
        <v>2520</v>
      </c>
      <c r="T67" s="912">
        <f t="shared" si="43"/>
        <v>215804.47999999998</v>
      </c>
      <c r="U67" s="992">
        <f t="shared" si="44"/>
        <v>6.4884195175188217E-3</v>
      </c>
      <c r="V67" s="992">
        <f t="shared" si="45"/>
        <v>1.1677236728357077E-2</v>
      </c>
      <c r="W67" s="988">
        <f t="shared" si="35"/>
        <v>2520</v>
      </c>
      <c r="X67" s="956">
        <f t="shared" si="9"/>
        <v>2520000</v>
      </c>
      <c r="Y67" s="985">
        <f>Electricity!X80</f>
        <v>157888.54999999999</v>
      </c>
      <c r="Z67" s="993">
        <f t="shared" si="36"/>
        <v>15.960625390504886</v>
      </c>
    </row>
    <row r="68" spans="1:26">
      <c r="C68" s="651" t="s">
        <v>976</v>
      </c>
      <c r="D68" s="1001">
        <v>233</v>
      </c>
      <c r="E68" s="1001">
        <v>49724.68</v>
      </c>
      <c r="F68" s="1002">
        <v>130.35</v>
      </c>
      <c r="G68" s="992">
        <f t="shared" si="37"/>
        <v>4.6858018995798462E-3</v>
      </c>
      <c r="H68" s="992">
        <f t="shared" si="38"/>
        <v>2.621434667855077E-3</v>
      </c>
      <c r="I68" s="1001">
        <v>1990</v>
      </c>
      <c r="J68" s="1001">
        <v>69079.5</v>
      </c>
      <c r="K68" s="1002">
        <v>1113.28</v>
      </c>
      <c r="L68" s="915">
        <f t="shared" si="39"/>
        <v>2.8807388588510341E-2</v>
      </c>
      <c r="M68" s="915">
        <f t="shared" si="40"/>
        <v>1.6115924405938085E-2</v>
      </c>
      <c r="N68" s="1001">
        <v>628</v>
      </c>
      <c r="O68" s="1001">
        <v>115358</v>
      </c>
      <c r="P68" s="1002">
        <v>351.32</v>
      </c>
      <c r="Q68" s="992">
        <f t="shared" si="41"/>
        <v>5.4439223980998286E-3</v>
      </c>
      <c r="R68" s="992">
        <f t="shared" si="42"/>
        <v>3.0454758230898595E-3</v>
      </c>
      <c r="S68" s="912">
        <f t="shared" si="43"/>
        <v>2851</v>
      </c>
      <c r="T68" s="912">
        <f t="shared" si="43"/>
        <v>234162.18</v>
      </c>
      <c r="U68" s="992">
        <f t="shared" si="44"/>
        <v>6.811304882795334E-3</v>
      </c>
      <c r="V68" s="992">
        <f t="shared" si="45"/>
        <v>1.2175322248878961E-2</v>
      </c>
      <c r="W68" s="988">
        <f t="shared" si="35"/>
        <v>2851</v>
      </c>
      <c r="X68" s="956">
        <f t="shared" si="9"/>
        <v>2851000</v>
      </c>
      <c r="Y68" s="985">
        <f>Electricity!X81</f>
        <v>176827.69500000001</v>
      </c>
      <c r="Z68" s="993">
        <f t="shared" si="36"/>
        <v>16.123040002302805</v>
      </c>
    </row>
    <row r="69" spans="1:26">
      <c r="C69" s="651" t="s">
        <v>977</v>
      </c>
      <c r="D69" s="1001">
        <v>153</v>
      </c>
      <c r="E69" s="1001">
        <v>35990</v>
      </c>
      <c r="F69" s="1002">
        <v>85.79</v>
      </c>
      <c r="G69" s="992">
        <f t="shared" ref="G69" si="46">D69/E69</f>
        <v>4.251180883578772E-3</v>
      </c>
      <c r="H69" s="992">
        <f t="shared" ref="H69" si="47">F69/E69</f>
        <v>2.3837176993609338E-3</v>
      </c>
      <c r="I69" s="1001">
        <v>1593</v>
      </c>
      <c r="J69" s="1001">
        <v>58576</v>
      </c>
      <c r="K69" s="1002">
        <v>893.22</v>
      </c>
      <c r="L69" s="915">
        <f t="shared" ref="L69" si="48">I69/J69</f>
        <v>2.7195438404807429E-2</v>
      </c>
      <c r="M69" s="915">
        <f t="shared" ref="M69" si="49">K69/J69</f>
        <v>1.5248907402349085E-2</v>
      </c>
      <c r="N69" s="1001">
        <v>680</v>
      </c>
      <c r="O69" s="1001">
        <v>97302</v>
      </c>
      <c r="P69" s="1002">
        <v>381.29</v>
      </c>
      <c r="Q69" s="992">
        <f t="shared" ref="Q69" si="50">N69/O69</f>
        <v>6.9885511089186241E-3</v>
      </c>
      <c r="R69" s="992">
        <f t="shared" ref="R69" si="51">P69/O69</f>
        <v>3.918624488705268E-3</v>
      </c>
      <c r="S69" s="912">
        <f t="shared" ref="S69" si="52">D69+I69+N69</f>
        <v>2426</v>
      </c>
      <c r="T69" s="912">
        <f t="shared" ref="T69" si="53">E69+J69+O69</f>
        <v>191868</v>
      </c>
      <c r="U69" s="992">
        <f t="shared" ref="U69" si="54">((F69+K69+P69)/(E69+J69+O69))</f>
        <v>7.0897700502428754E-3</v>
      </c>
      <c r="V69" s="992">
        <f t="shared" ref="V69" si="55">((D69+I69+N69)/(E69+J69+O69))</f>
        <v>1.2644109491942376E-2</v>
      </c>
      <c r="W69" s="988">
        <f t="shared" ref="W69" si="56">N69+I69+D69</f>
        <v>2426</v>
      </c>
      <c r="X69" s="956">
        <f t="shared" ref="X69" si="57">W69*1000</f>
        <v>2426000</v>
      </c>
      <c r="Y69" s="985">
        <f>Electricity!X82</f>
        <v>155998.29958333331</v>
      </c>
      <c r="Z69" s="993">
        <f t="shared" ref="Z69" si="58">X69/Y69</f>
        <v>15.551451563765578</v>
      </c>
    </row>
    <row r="70" spans="1:26">
      <c r="A70" s="881" t="s">
        <v>716</v>
      </c>
      <c r="W70" s="922">
        <f>SUM(W58:W69)</f>
        <v>34048</v>
      </c>
      <c r="X70" s="922">
        <f t="shared" ref="X70:Y70" si="59">SUM(X58:X69)</f>
        <v>34048000</v>
      </c>
      <c r="Y70" s="922">
        <f t="shared" si="59"/>
        <v>2009553.5217083334</v>
      </c>
      <c r="Z70" s="993">
        <f>X70/Y70</f>
        <v>16.943067020705968</v>
      </c>
    </row>
    <row r="71" spans="1:26">
      <c r="A71" t="s">
        <v>240</v>
      </c>
      <c r="C71" s="651" t="s">
        <v>978</v>
      </c>
      <c r="D71" s="1001">
        <v>175</v>
      </c>
      <c r="E71" s="1001"/>
      <c r="F71" s="1002">
        <v>116.35</v>
      </c>
      <c r="G71" s="992" t="e">
        <f t="shared" ref="G71:G72" si="60">D71/E71</f>
        <v>#DIV/0!</v>
      </c>
      <c r="H71" s="992" t="e">
        <f t="shared" ref="H71:H72" si="61">F71/E71</f>
        <v>#DIV/0!</v>
      </c>
      <c r="I71" s="1001">
        <v>1612</v>
      </c>
      <c r="J71" s="1001"/>
      <c r="K71" s="1002">
        <v>1071.6500000000001</v>
      </c>
      <c r="L71" s="915" t="e">
        <f t="shared" ref="L71:L72" si="62">I71/J71</f>
        <v>#DIV/0!</v>
      </c>
      <c r="M71" s="915" t="e">
        <f t="shared" ref="M71:M72" si="63">K71/J71</f>
        <v>#DIV/0!</v>
      </c>
      <c r="N71" s="1001">
        <v>914</v>
      </c>
      <c r="O71" s="1001">
        <v>117860</v>
      </c>
      <c r="P71" s="1002">
        <v>607.62</v>
      </c>
      <c r="Q71" s="992">
        <f t="shared" ref="Q71:Q73" si="64">N71/O71</f>
        <v>7.7549635160359745E-3</v>
      </c>
      <c r="R71" s="992">
        <f t="shared" ref="R71:R73" si="65">P71/O71</f>
        <v>5.1554386560325807E-3</v>
      </c>
      <c r="S71" s="912">
        <f t="shared" ref="S71:S72" si="66">D71+I71+N71</f>
        <v>2701</v>
      </c>
      <c r="T71" s="912">
        <f t="shared" ref="T71" si="67">E71+J71+O71</f>
        <v>117860</v>
      </c>
      <c r="U71" s="992">
        <f t="shared" ref="U71:U72" si="68">((F71+K71+P71)/(E71+J71+O71))</f>
        <v>1.5235194298320039E-2</v>
      </c>
      <c r="V71" s="992">
        <f t="shared" ref="V71:V72" si="69">((D71+I71+N71)/(E71+J71+O71))</f>
        <v>2.2917020193449857E-2</v>
      </c>
      <c r="W71" s="988">
        <f t="shared" ref="W71:W82" si="70">N71+I71+D71</f>
        <v>2701</v>
      </c>
      <c r="X71" s="956">
        <f t="shared" ref="X71:X82" si="71">W71*1000</f>
        <v>2701000</v>
      </c>
      <c r="Y71" s="911">
        <f>Electricity!X84</f>
        <v>167055.83333333334</v>
      </c>
      <c r="Z71" s="993">
        <f t="shared" ref="Z71:Z82" si="72">X71/Y71</f>
        <v>16.168247142921278</v>
      </c>
    </row>
    <row r="72" spans="1:26">
      <c r="C72" s="651" t="s">
        <v>58</v>
      </c>
      <c r="D72" s="1001"/>
      <c r="E72" s="1001"/>
      <c r="F72" s="1002"/>
      <c r="G72" s="992" t="e">
        <f t="shared" si="60"/>
        <v>#DIV/0!</v>
      </c>
      <c r="H72" s="992" t="e">
        <f t="shared" si="61"/>
        <v>#DIV/0!</v>
      </c>
      <c r="I72" s="1001"/>
      <c r="J72" s="1001"/>
      <c r="K72" s="1002"/>
      <c r="L72" s="915" t="e">
        <f t="shared" si="62"/>
        <v>#DIV/0!</v>
      </c>
      <c r="M72" s="915" t="e">
        <f t="shared" si="63"/>
        <v>#DIV/0!</v>
      </c>
      <c r="N72" s="1001"/>
      <c r="O72" s="1001"/>
      <c r="P72" s="1002"/>
      <c r="Q72" s="992" t="e">
        <f t="shared" si="64"/>
        <v>#DIV/0!</v>
      </c>
      <c r="R72" s="992" t="e">
        <f t="shared" si="65"/>
        <v>#DIV/0!</v>
      </c>
      <c r="S72" s="912">
        <f t="shared" si="66"/>
        <v>0</v>
      </c>
      <c r="T72" s="912">
        <f t="shared" ref="T72:T82" si="73">E72+J72+O72</f>
        <v>0</v>
      </c>
      <c r="U72" s="992" t="e">
        <f t="shared" si="68"/>
        <v>#DIV/0!</v>
      </c>
      <c r="V72" s="992" t="e">
        <f t="shared" si="69"/>
        <v>#DIV/0!</v>
      </c>
      <c r="W72" s="988">
        <f t="shared" si="70"/>
        <v>0</v>
      </c>
      <c r="X72" s="956">
        <f t="shared" si="71"/>
        <v>0</v>
      </c>
      <c r="Y72" s="911">
        <f>Electricity!X85</f>
        <v>0</v>
      </c>
      <c r="Z72" s="993" t="e">
        <f t="shared" si="72"/>
        <v>#DIV/0!</v>
      </c>
    </row>
    <row r="73" spans="1:26">
      <c r="C73" s="651" t="s">
        <v>979</v>
      </c>
      <c r="D73" s="1001"/>
      <c r="E73" s="1001"/>
      <c r="F73" s="1002"/>
      <c r="G73" s="992" t="e">
        <f t="shared" ref="G73:G82" si="74">D73/E73</f>
        <v>#DIV/0!</v>
      </c>
      <c r="H73" s="992" t="e">
        <f t="shared" ref="H73:H82" si="75">F73/E73</f>
        <v>#DIV/0!</v>
      </c>
      <c r="I73" s="1001"/>
      <c r="J73" s="1001"/>
      <c r="K73" s="1002"/>
      <c r="L73" s="915" t="e">
        <f t="shared" ref="L73:L82" si="76">I73/J73</f>
        <v>#DIV/0!</v>
      </c>
      <c r="M73" s="915" t="e">
        <f t="shared" ref="M73:M82" si="77">K73/J73</f>
        <v>#DIV/0!</v>
      </c>
      <c r="N73" s="1001"/>
      <c r="O73" s="1001"/>
      <c r="P73" s="1002"/>
      <c r="Q73" s="992" t="e">
        <f t="shared" si="64"/>
        <v>#DIV/0!</v>
      </c>
      <c r="R73" s="992" t="e">
        <f t="shared" si="65"/>
        <v>#DIV/0!</v>
      </c>
      <c r="S73" s="912">
        <f t="shared" ref="S73:S82" si="78">D73+I73+N73</f>
        <v>0</v>
      </c>
      <c r="T73" s="912">
        <f t="shared" si="73"/>
        <v>0</v>
      </c>
      <c r="U73" s="992" t="e">
        <f t="shared" ref="U73:U82" si="79">((F73+K73+P73)/(E73+J73+O73))</f>
        <v>#DIV/0!</v>
      </c>
      <c r="V73" s="992" t="e">
        <f t="shared" ref="V73:V82" si="80">((D73+I73+N73)/(E73+J73+O73))</f>
        <v>#DIV/0!</v>
      </c>
      <c r="W73" s="988">
        <f t="shared" si="70"/>
        <v>0</v>
      </c>
      <c r="X73" s="956">
        <f t="shared" si="71"/>
        <v>0</v>
      </c>
      <c r="Y73" s="911">
        <f>Electricity!X86</f>
        <v>0</v>
      </c>
      <c r="Z73" s="993" t="e">
        <f t="shared" si="72"/>
        <v>#DIV/0!</v>
      </c>
    </row>
    <row r="74" spans="1:26">
      <c r="C74" s="651" t="s">
        <v>980</v>
      </c>
      <c r="D74" s="1001"/>
      <c r="E74" s="1001"/>
      <c r="F74" s="1002"/>
      <c r="G74" s="992" t="e">
        <f t="shared" si="74"/>
        <v>#DIV/0!</v>
      </c>
      <c r="H74" s="992" t="e">
        <f t="shared" si="75"/>
        <v>#DIV/0!</v>
      </c>
      <c r="I74" s="1001"/>
      <c r="J74" s="1001"/>
      <c r="K74" s="1002"/>
      <c r="L74" s="915" t="e">
        <f t="shared" si="76"/>
        <v>#DIV/0!</v>
      </c>
      <c r="M74" s="915" t="e">
        <f t="shared" si="77"/>
        <v>#DIV/0!</v>
      </c>
      <c r="N74" s="1001"/>
      <c r="O74" s="1001"/>
      <c r="P74" s="1002"/>
      <c r="Q74" s="992" t="e">
        <f t="shared" ref="Q74:Q82" si="81">N74/O74</f>
        <v>#DIV/0!</v>
      </c>
      <c r="R74" s="992" t="e">
        <f t="shared" ref="R74:R82" si="82">P74/O74</f>
        <v>#DIV/0!</v>
      </c>
      <c r="S74" s="912">
        <f t="shared" si="78"/>
        <v>0</v>
      </c>
      <c r="T74" s="912">
        <f t="shared" si="73"/>
        <v>0</v>
      </c>
      <c r="U74" s="992" t="e">
        <f t="shared" si="79"/>
        <v>#DIV/0!</v>
      </c>
      <c r="V74" s="992" t="e">
        <f t="shared" si="80"/>
        <v>#DIV/0!</v>
      </c>
      <c r="W74" s="988">
        <f t="shared" si="70"/>
        <v>0</v>
      </c>
      <c r="X74" s="956">
        <f t="shared" si="71"/>
        <v>0</v>
      </c>
      <c r="Y74" s="911">
        <f>Electricity!X87</f>
        <v>0</v>
      </c>
      <c r="Z74" s="993" t="e">
        <f t="shared" si="72"/>
        <v>#DIV/0!</v>
      </c>
    </row>
    <row r="75" spans="1:26">
      <c r="C75" s="651" t="s">
        <v>79</v>
      </c>
      <c r="D75" s="1001"/>
      <c r="E75" s="1001"/>
      <c r="F75" s="1002"/>
      <c r="G75" s="992" t="e">
        <f t="shared" si="74"/>
        <v>#DIV/0!</v>
      </c>
      <c r="H75" s="992" t="e">
        <f t="shared" si="75"/>
        <v>#DIV/0!</v>
      </c>
      <c r="I75" s="1001"/>
      <c r="J75" s="1001"/>
      <c r="K75" s="1002"/>
      <c r="L75" s="915" t="e">
        <f t="shared" si="76"/>
        <v>#DIV/0!</v>
      </c>
      <c r="M75" s="915" t="e">
        <f t="shared" si="77"/>
        <v>#DIV/0!</v>
      </c>
      <c r="N75" s="1001"/>
      <c r="O75" s="1001"/>
      <c r="P75" s="1002"/>
      <c r="Q75" s="992" t="e">
        <f t="shared" si="81"/>
        <v>#DIV/0!</v>
      </c>
      <c r="R75" s="992" t="e">
        <f t="shared" si="82"/>
        <v>#DIV/0!</v>
      </c>
      <c r="S75" s="912">
        <f t="shared" si="78"/>
        <v>0</v>
      </c>
      <c r="T75" s="912">
        <f t="shared" si="73"/>
        <v>0</v>
      </c>
      <c r="U75" s="992" t="e">
        <f t="shared" si="79"/>
        <v>#DIV/0!</v>
      </c>
      <c r="V75" s="992" t="e">
        <f t="shared" si="80"/>
        <v>#DIV/0!</v>
      </c>
      <c r="W75" s="988">
        <f t="shared" si="70"/>
        <v>0</v>
      </c>
      <c r="X75" s="956">
        <f t="shared" si="71"/>
        <v>0</v>
      </c>
      <c r="Y75" s="911">
        <f>Electricity!X88</f>
        <v>0</v>
      </c>
      <c r="Z75" s="993" t="e">
        <f t="shared" si="72"/>
        <v>#DIV/0!</v>
      </c>
    </row>
    <row r="76" spans="1:26">
      <c r="C76" s="651" t="s">
        <v>71</v>
      </c>
      <c r="D76" s="1001"/>
      <c r="E76" s="1001"/>
      <c r="F76" s="1002"/>
      <c r="G76" s="992" t="e">
        <f t="shared" si="74"/>
        <v>#DIV/0!</v>
      </c>
      <c r="H76" s="992" t="e">
        <f t="shared" si="75"/>
        <v>#DIV/0!</v>
      </c>
      <c r="I76" s="1001"/>
      <c r="J76" s="1001"/>
      <c r="K76" s="1002"/>
      <c r="L76" s="915" t="e">
        <f t="shared" si="76"/>
        <v>#DIV/0!</v>
      </c>
      <c r="M76" s="915" t="e">
        <f t="shared" si="77"/>
        <v>#DIV/0!</v>
      </c>
      <c r="N76" s="1001"/>
      <c r="O76" s="1001"/>
      <c r="P76" s="1002"/>
      <c r="Q76" s="992" t="e">
        <f t="shared" si="81"/>
        <v>#DIV/0!</v>
      </c>
      <c r="R76" s="992" t="e">
        <f t="shared" si="82"/>
        <v>#DIV/0!</v>
      </c>
      <c r="S76" s="912">
        <f t="shared" si="78"/>
        <v>0</v>
      </c>
      <c r="T76" s="912">
        <f t="shared" si="73"/>
        <v>0</v>
      </c>
      <c r="U76" s="992" t="e">
        <f t="shared" si="79"/>
        <v>#DIV/0!</v>
      </c>
      <c r="V76" s="992" t="e">
        <f t="shared" si="80"/>
        <v>#DIV/0!</v>
      </c>
      <c r="W76" s="988">
        <f t="shared" si="70"/>
        <v>0</v>
      </c>
      <c r="X76" s="956">
        <f t="shared" si="71"/>
        <v>0</v>
      </c>
      <c r="Y76" s="911">
        <f>Electricity!X89</f>
        <v>0</v>
      </c>
      <c r="Z76" s="993" t="e">
        <f t="shared" si="72"/>
        <v>#DIV/0!</v>
      </c>
    </row>
    <row r="77" spans="1:26">
      <c r="C77" s="651" t="s">
        <v>981</v>
      </c>
      <c r="D77" s="1001"/>
      <c r="E77" s="1001"/>
      <c r="F77" s="1002"/>
      <c r="G77" s="992" t="e">
        <f t="shared" si="74"/>
        <v>#DIV/0!</v>
      </c>
      <c r="H77" s="992" t="e">
        <f t="shared" si="75"/>
        <v>#DIV/0!</v>
      </c>
      <c r="I77" s="1001"/>
      <c r="J77" s="1001"/>
      <c r="K77" s="1002"/>
      <c r="L77" s="915" t="e">
        <f t="shared" si="76"/>
        <v>#DIV/0!</v>
      </c>
      <c r="M77" s="915" t="e">
        <f t="shared" si="77"/>
        <v>#DIV/0!</v>
      </c>
      <c r="N77" s="1001"/>
      <c r="O77" s="1001"/>
      <c r="P77" s="1002"/>
      <c r="Q77" s="992" t="e">
        <f t="shared" si="81"/>
        <v>#DIV/0!</v>
      </c>
      <c r="R77" s="992" t="e">
        <f t="shared" si="82"/>
        <v>#DIV/0!</v>
      </c>
      <c r="S77" s="912">
        <f t="shared" si="78"/>
        <v>0</v>
      </c>
      <c r="T77" s="912">
        <f t="shared" si="73"/>
        <v>0</v>
      </c>
      <c r="U77" s="992" t="e">
        <f t="shared" si="79"/>
        <v>#DIV/0!</v>
      </c>
      <c r="V77" s="992" t="e">
        <f t="shared" si="80"/>
        <v>#DIV/0!</v>
      </c>
      <c r="W77" s="988">
        <f t="shared" si="70"/>
        <v>0</v>
      </c>
      <c r="X77" s="956">
        <f t="shared" si="71"/>
        <v>0</v>
      </c>
      <c r="Y77" s="911">
        <f>Electricity!X90</f>
        <v>0</v>
      </c>
      <c r="Z77" s="993" t="e">
        <f t="shared" si="72"/>
        <v>#DIV/0!</v>
      </c>
    </row>
    <row r="78" spans="1:26">
      <c r="C78" s="651" t="s">
        <v>982</v>
      </c>
      <c r="D78" s="1001"/>
      <c r="E78" s="1001"/>
      <c r="F78" s="1002"/>
      <c r="G78" s="992" t="e">
        <f t="shared" si="74"/>
        <v>#DIV/0!</v>
      </c>
      <c r="H78" s="992" t="e">
        <f t="shared" si="75"/>
        <v>#DIV/0!</v>
      </c>
      <c r="I78" s="1001"/>
      <c r="J78" s="1001"/>
      <c r="K78" s="1002"/>
      <c r="L78" s="915" t="e">
        <f t="shared" si="76"/>
        <v>#DIV/0!</v>
      </c>
      <c r="M78" s="915" t="e">
        <f t="shared" si="77"/>
        <v>#DIV/0!</v>
      </c>
      <c r="N78" s="1001"/>
      <c r="O78" s="1001"/>
      <c r="P78" s="1002"/>
      <c r="Q78" s="992" t="e">
        <f t="shared" si="81"/>
        <v>#DIV/0!</v>
      </c>
      <c r="R78" s="992" t="e">
        <f t="shared" si="82"/>
        <v>#DIV/0!</v>
      </c>
      <c r="S78" s="912">
        <f t="shared" si="78"/>
        <v>0</v>
      </c>
      <c r="T78" s="912">
        <f t="shared" si="73"/>
        <v>0</v>
      </c>
      <c r="U78" s="992" t="e">
        <f t="shared" si="79"/>
        <v>#DIV/0!</v>
      </c>
      <c r="V78" s="992" t="e">
        <f t="shared" si="80"/>
        <v>#DIV/0!</v>
      </c>
      <c r="W78" s="988">
        <f t="shared" si="70"/>
        <v>0</v>
      </c>
      <c r="X78" s="956">
        <f t="shared" si="71"/>
        <v>0</v>
      </c>
      <c r="Y78" s="911">
        <f>Electricity!X91</f>
        <v>0</v>
      </c>
      <c r="Z78" s="993" t="e">
        <f t="shared" si="72"/>
        <v>#DIV/0!</v>
      </c>
    </row>
    <row r="79" spans="1:26">
      <c r="C79" s="651" t="s">
        <v>983</v>
      </c>
      <c r="D79" s="1001"/>
      <c r="E79" s="1001"/>
      <c r="F79" s="1002"/>
      <c r="G79" s="992" t="e">
        <f t="shared" si="74"/>
        <v>#DIV/0!</v>
      </c>
      <c r="H79" s="992" t="e">
        <f t="shared" si="75"/>
        <v>#DIV/0!</v>
      </c>
      <c r="I79" s="1001"/>
      <c r="J79" s="1001"/>
      <c r="K79" s="1002"/>
      <c r="L79" s="915" t="e">
        <f t="shared" si="76"/>
        <v>#DIV/0!</v>
      </c>
      <c r="M79" s="915" t="e">
        <f t="shared" si="77"/>
        <v>#DIV/0!</v>
      </c>
      <c r="N79" s="1001"/>
      <c r="O79" s="1001"/>
      <c r="P79" s="1002"/>
      <c r="Q79" s="992" t="e">
        <f t="shared" si="81"/>
        <v>#DIV/0!</v>
      </c>
      <c r="R79" s="992" t="e">
        <f t="shared" si="82"/>
        <v>#DIV/0!</v>
      </c>
      <c r="S79" s="912">
        <f t="shared" si="78"/>
        <v>0</v>
      </c>
      <c r="T79" s="912">
        <f t="shared" si="73"/>
        <v>0</v>
      </c>
      <c r="U79" s="992" t="e">
        <f t="shared" si="79"/>
        <v>#DIV/0!</v>
      </c>
      <c r="V79" s="992" t="e">
        <f t="shared" si="80"/>
        <v>#DIV/0!</v>
      </c>
      <c r="W79" s="988">
        <f t="shared" si="70"/>
        <v>0</v>
      </c>
      <c r="X79" s="956">
        <f t="shared" si="71"/>
        <v>0</v>
      </c>
      <c r="Y79" s="911">
        <f>Electricity!X92</f>
        <v>0</v>
      </c>
      <c r="Z79" s="993" t="e">
        <f t="shared" si="72"/>
        <v>#DIV/0!</v>
      </c>
    </row>
    <row r="80" spans="1:26">
      <c r="C80" s="651" t="s">
        <v>984</v>
      </c>
      <c r="D80" s="1001"/>
      <c r="E80" s="1001"/>
      <c r="F80" s="1002"/>
      <c r="G80" s="992" t="e">
        <f t="shared" si="74"/>
        <v>#DIV/0!</v>
      </c>
      <c r="H80" s="992" t="e">
        <f t="shared" si="75"/>
        <v>#DIV/0!</v>
      </c>
      <c r="I80" s="1001"/>
      <c r="J80" s="1001"/>
      <c r="K80" s="1002"/>
      <c r="L80" s="915" t="e">
        <f t="shared" si="76"/>
        <v>#DIV/0!</v>
      </c>
      <c r="M80" s="915" t="e">
        <f t="shared" si="77"/>
        <v>#DIV/0!</v>
      </c>
      <c r="N80" s="1001"/>
      <c r="O80" s="1001"/>
      <c r="P80" s="1002"/>
      <c r="Q80" s="992" t="e">
        <f t="shared" si="81"/>
        <v>#DIV/0!</v>
      </c>
      <c r="R80" s="992" t="e">
        <f t="shared" si="82"/>
        <v>#DIV/0!</v>
      </c>
      <c r="S80" s="912">
        <f t="shared" si="78"/>
        <v>0</v>
      </c>
      <c r="T80" s="912">
        <f t="shared" si="73"/>
        <v>0</v>
      </c>
      <c r="U80" s="992" t="e">
        <f t="shared" si="79"/>
        <v>#DIV/0!</v>
      </c>
      <c r="V80" s="992" t="e">
        <f t="shared" si="80"/>
        <v>#DIV/0!</v>
      </c>
      <c r="W80" s="988">
        <f t="shared" si="70"/>
        <v>0</v>
      </c>
      <c r="X80" s="956">
        <f t="shared" si="71"/>
        <v>0</v>
      </c>
      <c r="Y80" s="911">
        <f>Electricity!X93</f>
        <v>0</v>
      </c>
      <c r="Z80" s="993" t="e">
        <f t="shared" si="72"/>
        <v>#DIV/0!</v>
      </c>
    </row>
    <row r="81" spans="3:26">
      <c r="C81" s="651" t="s">
        <v>985</v>
      </c>
      <c r="D81" s="1001"/>
      <c r="E81" s="1001"/>
      <c r="F81" s="1002"/>
      <c r="G81" s="992" t="e">
        <f t="shared" si="74"/>
        <v>#DIV/0!</v>
      </c>
      <c r="H81" s="992" t="e">
        <f t="shared" si="75"/>
        <v>#DIV/0!</v>
      </c>
      <c r="I81" s="1001"/>
      <c r="J81" s="1001"/>
      <c r="K81" s="1002"/>
      <c r="L81" s="915" t="e">
        <f t="shared" si="76"/>
        <v>#DIV/0!</v>
      </c>
      <c r="M81" s="915" t="e">
        <f t="shared" si="77"/>
        <v>#DIV/0!</v>
      </c>
      <c r="N81" s="1001"/>
      <c r="O81" s="1001"/>
      <c r="P81" s="1002"/>
      <c r="Q81" s="992" t="e">
        <f t="shared" si="81"/>
        <v>#DIV/0!</v>
      </c>
      <c r="R81" s="992" t="e">
        <f t="shared" si="82"/>
        <v>#DIV/0!</v>
      </c>
      <c r="S81" s="912">
        <f t="shared" si="78"/>
        <v>0</v>
      </c>
      <c r="T81" s="912">
        <f t="shared" si="73"/>
        <v>0</v>
      </c>
      <c r="U81" s="992" t="e">
        <f t="shared" si="79"/>
        <v>#DIV/0!</v>
      </c>
      <c r="V81" s="992" t="e">
        <f t="shared" si="80"/>
        <v>#DIV/0!</v>
      </c>
      <c r="W81" s="988">
        <f t="shared" si="70"/>
        <v>0</v>
      </c>
      <c r="X81" s="956">
        <f t="shared" si="71"/>
        <v>0</v>
      </c>
      <c r="Y81" s="911">
        <f>Electricity!X94</f>
        <v>0</v>
      </c>
      <c r="Z81" s="993" t="e">
        <f t="shared" si="72"/>
        <v>#DIV/0!</v>
      </c>
    </row>
    <row r="82" spans="3:26">
      <c r="C82" s="651" t="s">
        <v>986</v>
      </c>
      <c r="D82" s="1001"/>
      <c r="E82" s="1001"/>
      <c r="F82" s="1002"/>
      <c r="G82" s="992" t="e">
        <f t="shared" si="74"/>
        <v>#DIV/0!</v>
      </c>
      <c r="H82" s="992" t="e">
        <f t="shared" si="75"/>
        <v>#DIV/0!</v>
      </c>
      <c r="I82" s="1001"/>
      <c r="J82" s="1001"/>
      <c r="K82" s="1002"/>
      <c r="L82" s="915" t="e">
        <f t="shared" si="76"/>
        <v>#DIV/0!</v>
      </c>
      <c r="M82" s="915" t="e">
        <f t="shared" si="77"/>
        <v>#DIV/0!</v>
      </c>
      <c r="N82" s="1001"/>
      <c r="O82" s="1001"/>
      <c r="P82" s="1002"/>
      <c r="Q82" s="992" t="e">
        <f t="shared" si="81"/>
        <v>#DIV/0!</v>
      </c>
      <c r="R82" s="992" t="e">
        <f t="shared" si="82"/>
        <v>#DIV/0!</v>
      </c>
      <c r="S82" s="912">
        <f t="shared" si="78"/>
        <v>0</v>
      </c>
      <c r="T82" s="912">
        <f t="shared" si="73"/>
        <v>0</v>
      </c>
      <c r="U82" s="992" t="e">
        <f t="shared" si="79"/>
        <v>#DIV/0!</v>
      </c>
      <c r="V82" s="992" t="e">
        <f t="shared" si="80"/>
        <v>#DIV/0!</v>
      </c>
      <c r="W82" s="988">
        <f t="shared" si="70"/>
        <v>0</v>
      </c>
      <c r="X82" s="956">
        <f t="shared" si="71"/>
        <v>0</v>
      </c>
      <c r="Y82" s="911">
        <f>Electricity!X95</f>
        <v>0</v>
      </c>
      <c r="Z82" s="993" t="e">
        <f t="shared" si="72"/>
        <v>#DIV/0!</v>
      </c>
    </row>
  </sheetData>
  <mergeCells count="6">
    <mergeCell ref="D1:L1"/>
    <mergeCell ref="C3:V3"/>
    <mergeCell ref="C4:H4"/>
    <mergeCell ref="I4:M4"/>
    <mergeCell ref="N4:R4"/>
    <mergeCell ref="S4:V4"/>
  </mergeCells>
  <phoneticPr fontId="91" type="noConversion"/>
  <printOptions horizontalCentered="1"/>
  <pageMargins left="0.7" right="0.7" top="0.75" bottom="0.75" header="0.3" footer="0.3"/>
  <pageSetup paperSize="9" scale="71" orientation="landscape"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BE8F6-9102-422F-8C69-C7275055655B}">
  <dimension ref="A2:S16"/>
  <sheetViews>
    <sheetView showGridLines="0" workbookViewId="0"/>
  </sheetViews>
  <sheetFormatPr defaultRowHeight="15"/>
  <cols>
    <col min="1" max="1" width="31.140625" customWidth="1"/>
    <col min="2" max="2" width="2.7109375" customWidth="1"/>
    <col min="5" max="5" width="3.140625" customWidth="1"/>
    <col min="8" max="8" width="3.140625" customWidth="1"/>
    <col min="11" max="11" width="21.5703125" bestFit="1" customWidth="1"/>
  </cols>
  <sheetData>
    <row r="2" spans="1:19" ht="15.75" thickBot="1"/>
    <row r="3" spans="1:19" ht="15.75" thickBot="1">
      <c r="C3" s="2134" t="s">
        <v>257</v>
      </c>
      <c r="D3" s="2135"/>
      <c r="E3" s="2135"/>
      <c r="F3" s="2135"/>
      <c r="G3" s="2135"/>
      <c r="H3" s="2135"/>
      <c r="I3" s="2135"/>
      <c r="J3" s="2136"/>
      <c r="L3" s="2122" t="s">
        <v>1056</v>
      </c>
      <c r="M3" s="2123"/>
      <c r="N3" s="2123"/>
      <c r="O3" s="2123"/>
      <c r="P3" s="2123"/>
      <c r="Q3" s="2123"/>
      <c r="R3" s="2123"/>
      <c r="S3" s="2124"/>
    </row>
    <row r="4" spans="1:19">
      <c r="A4" s="880" t="s">
        <v>338</v>
      </c>
      <c r="C4" s="2131">
        <v>2022</v>
      </c>
      <c r="D4" s="2132"/>
      <c r="E4" s="2137"/>
      <c r="F4" s="2132">
        <v>2023</v>
      </c>
      <c r="G4" s="2132"/>
      <c r="H4" s="2137"/>
      <c r="I4" s="2132">
        <v>2024</v>
      </c>
      <c r="J4" s="2133"/>
      <c r="K4" t="s">
        <v>240</v>
      </c>
      <c r="L4" s="2125">
        <v>2022</v>
      </c>
      <c r="M4" s="2126"/>
      <c r="N4" s="2127"/>
      <c r="O4" s="2126">
        <v>2023</v>
      </c>
      <c r="P4" s="2126"/>
      <c r="Q4" s="2127"/>
      <c r="R4" s="2126">
        <v>2024</v>
      </c>
      <c r="S4" s="2130"/>
    </row>
    <row r="5" spans="1:19">
      <c r="A5" t="s">
        <v>240</v>
      </c>
      <c r="C5" s="1753">
        <v>44562</v>
      </c>
      <c r="D5" s="610"/>
      <c r="E5" s="2128"/>
      <c r="F5" s="1341">
        <v>44927</v>
      </c>
      <c r="G5" s="1342">
        <v>17211.760000000002</v>
      </c>
      <c r="H5" s="2128"/>
      <c r="I5" s="1341">
        <v>45292</v>
      </c>
      <c r="J5" s="1754">
        <v>14735.02</v>
      </c>
      <c r="K5" t="s">
        <v>1057</v>
      </c>
      <c r="L5" s="1343">
        <v>44562</v>
      </c>
      <c r="M5" s="610"/>
      <c r="N5" s="2128"/>
      <c r="O5" s="1341">
        <v>44927</v>
      </c>
      <c r="P5" s="1342">
        <v>12</v>
      </c>
      <c r="Q5" s="2128"/>
      <c r="R5" s="1341">
        <v>45292</v>
      </c>
      <c r="S5" s="1344">
        <v>0</v>
      </c>
    </row>
    <row r="6" spans="1:19">
      <c r="C6" s="1753">
        <v>44593</v>
      </c>
      <c r="D6" s="610"/>
      <c r="E6" s="2128"/>
      <c r="F6" s="1341">
        <v>44958</v>
      </c>
      <c r="G6" s="1342">
        <v>16079.460000000001</v>
      </c>
      <c r="H6" s="2128"/>
      <c r="I6" s="1341">
        <v>45323</v>
      </c>
      <c r="J6" s="1754"/>
      <c r="L6" s="1343">
        <v>44593</v>
      </c>
      <c r="M6" s="610"/>
      <c r="N6" s="2128"/>
      <c r="O6" s="1341">
        <v>44958</v>
      </c>
      <c r="P6" s="1342">
        <v>13</v>
      </c>
      <c r="Q6" s="2128"/>
      <c r="R6" s="1341">
        <v>45323</v>
      </c>
      <c r="S6" s="1344"/>
    </row>
    <row r="7" spans="1:19">
      <c r="C7" s="1753">
        <v>44621</v>
      </c>
      <c r="D7" s="610"/>
      <c r="E7" s="2128"/>
      <c r="F7" s="1341">
        <v>44986</v>
      </c>
      <c r="G7" s="1342">
        <v>21618.32</v>
      </c>
      <c r="H7" s="2128"/>
      <c r="I7" s="1341">
        <v>45352</v>
      </c>
      <c r="J7" s="1754"/>
      <c r="L7" s="1343">
        <v>44621</v>
      </c>
      <c r="M7" s="610"/>
      <c r="N7" s="2128"/>
      <c r="O7" s="1341">
        <v>44986</v>
      </c>
      <c r="P7" s="1342">
        <v>20</v>
      </c>
      <c r="Q7" s="2128"/>
      <c r="R7" s="1341">
        <v>45352</v>
      </c>
      <c r="S7" s="1344"/>
    </row>
    <row r="8" spans="1:19">
      <c r="C8" s="1753">
        <v>44652</v>
      </c>
      <c r="D8" s="1342">
        <v>4390.0099999999993</v>
      </c>
      <c r="E8" s="2128"/>
      <c r="F8" s="1341">
        <v>45017</v>
      </c>
      <c r="G8" s="1342">
        <v>18681.160000000003</v>
      </c>
      <c r="H8" s="2128"/>
      <c r="I8" s="1341">
        <v>45383</v>
      </c>
      <c r="J8" s="1754"/>
      <c r="L8" s="1343">
        <v>44652</v>
      </c>
      <c r="M8" s="1342"/>
      <c r="N8" s="2128"/>
      <c r="O8" s="1341">
        <v>45017</v>
      </c>
      <c r="P8" s="1342">
        <v>15</v>
      </c>
      <c r="Q8" s="2128"/>
      <c r="R8" s="1341">
        <v>45383</v>
      </c>
      <c r="S8" s="1344"/>
    </row>
    <row r="9" spans="1:19">
      <c r="C9" s="1753">
        <v>44682</v>
      </c>
      <c r="D9" s="1342">
        <v>8366.41</v>
      </c>
      <c r="E9" s="2128"/>
      <c r="F9" s="1341">
        <v>45047</v>
      </c>
      <c r="G9" s="1342">
        <v>22962.010000000002</v>
      </c>
      <c r="H9" s="2128"/>
      <c r="I9" s="1341">
        <v>45413</v>
      </c>
      <c r="J9" s="1754"/>
      <c r="L9" s="1343">
        <v>44682</v>
      </c>
      <c r="M9" s="1342"/>
      <c r="N9" s="2128"/>
      <c r="O9" s="1341">
        <v>45047</v>
      </c>
      <c r="P9" s="1342">
        <v>40</v>
      </c>
      <c r="Q9" s="2128"/>
      <c r="R9" s="1341">
        <v>45413</v>
      </c>
      <c r="S9" s="1344"/>
    </row>
    <row r="10" spans="1:19">
      <c r="C10" s="1753">
        <v>44713</v>
      </c>
      <c r="D10" s="1342">
        <v>20298.12</v>
      </c>
      <c r="E10" s="2128"/>
      <c r="F10" s="1341">
        <v>45078</v>
      </c>
      <c r="G10" s="1342">
        <v>19677.629999999997</v>
      </c>
      <c r="H10" s="2128"/>
      <c r="I10" s="1341">
        <v>45444</v>
      </c>
      <c r="J10" s="1754"/>
      <c r="L10" s="1343">
        <v>44713</v>
      </c>
      <c r="M10" s="1342"/>
      <c r="N10" s="2128"/>
      <c r="O10" s="1341">
        <v>45078</v>
      </c>
      <c r="P10" s="1342">
        <v>30</v>
      </c>
      <c r="Q10" s="2128"/>
      <c r="R10" s="1341">
        <v>45444</v>
      </c>
      <c r="S10" s="1344"/>
    </row>
    <row r="11" spans="1:19">
      <c r="C11" s="1753">
        <v>44743</v>
      </c>
      <c r="D11" s="1342">
        <v>22889.229999999996</v>
      </c>
      <c r="E11" s="2128"/>
      <c r="F11" s="1341">
        <v>45108</v>
      </c>
      <c r="G11" s="1342">
        <v>25604.169999999991</v>
      </c>
      <c r="H11" s="2128"/>
      <c r="I11" s="1341">
        <v>45474</v>
      </c>
      <c r="J11" s="1754"/>
      <c r="L11" s="1343">
        <v>44743</v>
      </c>
      <c r="M11" s="1342"/>
      <c r="N11" s="2128"/>
      <c r="O11" s="1341">
        <v>45108</v>
      </c>
      <c r="P11" s="1342">
        <v>40</v>
      </c>
      <c r="Q11" s="2128"/>
      <c r="R11" s="1341">
        <v>45474</v>
      </c>
      <c r="S11" s="1344"/>
    </row>
    <row r="12" spans="1:19">
      <c r="C12" s="1753">
        <v>44774</v>
      </c>
      <c r="D12" s="1342">
        <v>25647.85</v>
      </c>
      <c r="E12" s="2128"/>
      <c r="F12" s="1341">
        <v>45139</v>
      </c>
      <c r="G12" s="1342">
        <v>18134.23</v>
      </c>
      <c r="H12" s="2128"/>
      <c r="I12" s="1341">
        <v>45505</v>
      </c>
      <c r="J12" s="1754"/>
      <c r="L12" s="1343">
        <v>44774</v>
      </c>
      <c r="M12" s="1342"/>
      <c r="N12" s="2128"/>
      <c r="O12" s="1341">
        <v>45139</v>
      </c>
      <c r="P12" s="1342">
        <v>40</v>
      </c>
      <c r="Q12" s="2128"/>
      <c r="R12" s="1341">
        <v>45505</v>
      </c>
      <c r="S12" s="1344"/>
    </row>
    <row r="13" spans="1:19">
      <c r="C13" s="1753">
        <v>44805</v>
      </c>
      <c r="D13" s="1342">
        <v>22648.270000000004</v>
      </c>
      <c r="E13" s="2128"/>
      <c r="F13" s="1341">
        <v>45170</v>
      </c>
      <c r="G13" s="1342">
        <v>23690.880000000001</v>
      </c>
      <c r="H13" s="2128"/>
      <c r="I13" s="1341">
        <v>45536</v>
      </c>
      <c r="J13" s="1754"/>
      <c r="L13" s="1343">
        <v>44805</v>
      </c>
      <c r="M13" s="1342"/>
      <c r="N13" s="2128"/>
      <c r="O13" s="1341">
        <v>45170</v>
      </c>
      <c r="P13" s="1342">
        <v>35</v>
      </c>
      <c r="Q13" s="2128"/>
      <c r="R13" s="1341">
        <v>45536</v>
      </c>
      <c r="S13" s="1344"/>
    </row>
    <row r="14" spans="1:19">
      <c r="C14" s="1753">
        <v>44835</v>
      </c>
      <c r="D14" s="1342">
        <v>22969.609999999997</v>
      </c>
      <c r="E14" s="2128"/>
      <c r="F14" s="1341">
        <v>45200</v>
      </c>
      <c r="G14" s="1833">
        <v>20509.14</v>
      </c>
      <c r="H14" s="2128"/>
      <c r="I14" s="1341">
        <v>45566</v>
      </c>
      <c r="J14" s="1754"/>
      <c r="L14" s="1343">
        <v>44835</v>
      </c>
      <c r="M14" s="1342"/>
      <c r="N14" s="2128"/>
      <c r="O14" s="1341">
        <v>45200</v>
      </c>
      <c r="P14" s="1342">
        <v>30</v>
      </c>
      <c r="Q14" s="2128"/>
      <c r="R14" s="1341">
        <v>45566</v>
      </c>
      <c r="S14" s="1344"/>
    </row>
    <row r="15" spans="1:19">
      <c r="C15" s="1753">
        <v>44866</v>
      </c>
      <c r="D15" s="1342">
        <v>18298.88</v>
      </c>
      <c r="E15" s="2128"/>
      <c r="F15" s="1341">
        <v>45231</v>
      </c>
      <c r="G15" s="1342">
        <v>17579.199999999997</v>
      </c>
      <c r="H15" s="2128"/>
      <c r="I15" s="1341">
        <v>45597</v>
      </c>
      <c r="J15" s="1754"/>
      <c r="L15" s="1343">
        <v>44866</v>
      </c>
      <c r="M15" s="1342"/>
      <c r="N15" s="2128"/>
      <c r="O15" s="1341">
        <v>45231</v>
      </c>
      <c r="P15" s="1342">
        <v>10</v>
      </c>
      <c r="Q15" s="2128"/>
      <c r="R15" s="1341">
        <v>45597</v>
      </c>
      <c r="S15" s="1344"/>
    </row>
    <row r="16" spans="1:19" ht="15.75" thickBot="1">
      <c r="C16" s="1755">
        <v>44896</v>
      </c>
      <c r="D16" s="1756">
        <v>13766.060000000001</v>
      </c>
      <c r="E16" s="2138"/>
      <c r="F16" s="1757">
        <v>45261</v>
      </c>
      <c r="G16" s="1756">
        <v>15532.050000000001</v>
      </c>
      <c r="H16" s="2138"/>
      <c r="I16" s="1757">
        <v>45627</v>
      </c>
      <c r="J16" s="1758"/>
      <c r="L16" s="1345">
        <v>44896</v>
      </c>
      <c r="M16" s="1346"/>
      <c r="N16" s="2129"/>
      <c r="O16" s="1348">
        <v>45261</v>
      </c>
      <c r="P16" s="1759" t="s">
        <v>1058</v>
      </c>
      <c r="Q16" s="2129"/>
      <c r="R16" s="1348">
        <v>45627</v>
      </c>
      <c r="S16" s="1349"/>
    </row>
  </sheetData>
  <mergeCells count="12">
    <mergeCell ref="C4:D4"/>
    <mergeCell ref="F4:G4"/>
    <mergeCell ref="I4:J4"/>
    <mergeCell ref="C3:J3"/>
    <mergeCell ref="H4:H16"/>
    <mergeCell ref="E4:E16"/>
    <mergeCell ref="L3:S3"/>
    <mergeCell ref="L4:M4"/>
    <mergeCell ref="N4:N16"/>
    <mergeCell ref="O4:P4"/>
    <mergeCell ref="Q4:Q16"/>
    <mergeCell ref="R4:S4"/>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0B792-6A9E-4310-B543-A8ACBD6A7D87}">
  <dimension ref="A2:J64"/>
  <sheetViews>
    <sheetView workbookViewId="0">
      <pane ySplit="4" topLeftCell="A5" activePane="bottomLeft" state="frozen"/>
      <selection pane="bottomLeft"/>
    </sheetView>
  </sheetViews>
  <sheetFormatPr defaultRowHeight="15"/>
  <cols>
    <col min="1" max="1" width="24.42578125" customWidth="1"/>
    <col min="2" max="2" width="4.140625" bestFit="1" customWidth="1"/>
    <col min="3" max="3" width="10.140625" bestFit="1" customWidth="1"/>
    <col min="4" max="4" width="51.7109375" customWidth="1"/>
    <col min="5" max="5" width="21.85546875" bestFit="1" customWidth="1"/>
    <col min="6" max="6" width="23.42578125" bestFit="1" customWidth="1"/>
    <col min="7" max="7" width="13.42578125" bestFit="1" customWidth="1"/>
    <col min="8" max="8" width="2.85546875" customWidth="1"/>
    <col min="9" max="9" width="27" customWidth="1"/>
    <col min="10" max="10" width="5" bestFit="1" customWidth="1"/>
  </cols>
  <sheetData>
    <row r="2" spans="1:10" ht="15.75" thickBot="1"/>
    <row r="3" spans="1:10" ht="15.75" thickBot="1">
      <c r="A3" s="880" t="s">
        <v>338</v>
      </c>
      <c r="B3" s="2076" t="s">
        <v>1059</v>
      </c>
      <c r="C3" s="2139"/>
      <c r="D3" s="2139"/>
      <c r="E3" s="2139"/>
      <c r="F3" s="2139"/>
      <c r="G3" s="2077"/>
    </row>
    <row r="4" spans="1:10" s="665" customFormat="1" ht="15.75" thickBot="1">
      <c r="A4" s="665" t="s">
        <v>770</v>
      </c>
      <c r="B4" s="1010" t="s">
        <v>298</v>
      </c>
      <c r="C4" s="505" t="s">
        <v>121</v>
      </c>
      <c r="D4" s="505" t="s">
        <v>1060</v>
      </c>
      <c r="E4" s="505" t="s">
        <v>1061</v>
      </c>
      <c r="F4" s="1011" t="s">
        <v>1062</v>
      </c>
      <c r="G4" s="1012" t="s">
        <v>1063</v>
      </c>
    </row>
    <row r="5" spans="1:10">
      <c r="B5" s="1013">
        <v>1</v>
      </c>
      <c r="C5" s="1014">
        <v>44928</v>
      </c>
      <c r="D5" s="607" t="s">
        <v>1064</v>
      </c>
      <c r="E5" s="607" t="s">
        <v>1065</v>
      </c>
      <c r="F5" s="1015" t="s">
        <v>1066</v>
      </c>
      <c r="G5" s="817">
        <v>227</v>
      </c>
      <c r="I5" t="s">
        <v>1067</v>
      </c>
      <c r="J5">
        <v>227</v>
      </c>
    </row>
    <row r="6" spans="1:10">
      <c r="B6" s="1016">
        <v>2</v>
      </c>
      <c r="C6" s="1017">
        <v>44928</v>
      </c>
      <c r="D6" s="612" t="s">
        <v>1068</v>
      </c>
      <c r="E6" s="612" t="s">
        <v>1065</v>
      </c>
      <c r="F6" s="1018" t="s">
        <v>1066</v>
      </c>
      <c r="G6" s="570">
        <v>227</v>
      </c>
      <c r="I6" t="s">
        <v>1069</v>
      </c>
      <c r="J6">
        <v>227</v>
      </c>
    </row>
    <row r="7" spans="1:10">
      <c r="B7" s="1016">
        <v>3</v>
      </c>
      <c r="C7" s="1017">
        <v>44928</v>
      </c>
      <c r="D7" s="612" t="s">
        <v>1068</v>
      </c>
      <c r="E7" s="612" t="s">
        <v>1066</v>
      </c>
      <c r="F7" s="1018" t="s">
        <v>1065</v>
      </c>
      <c r="G7" s="570">
        <v>227</v>
      </c>
      <c r="I7" t="s">
        <v>1070</v>
      </c>
      <c r="J7">
        <v>348</v>
      </c>
    </row>
    <row r="8" spans="1:10">
      <c r="B8" s="1019">
        <v>4</v>
      </c>
      <c r="C8" s="1017">
        <v>44938</v>
      </c>
      <c r="D8" s="612" t="s">
        <v>1071</v>
      </c>
      <c r="E8" s="612" t="s">
        <v>1065</v>
      </c>
      <c r="F8" s="1018" t="s">
        <v>1072</v>
      </c>
      <c r="G8" s="570">
        <v>348</v>
      </c>
      <c r="I8" t="s">
        <v>1073</v>
      </c>
      <c r="J8">
        <v>348</v>
      </c>
    </row>
    <row r="9" spans="1:10">
      <c r="B9" s="1016">
        <v>5</v>
      </c>
      <c r="C9" s="1017">
        <v>44938</v>
      </c>
      <c r="D9" s="612" t="s">
        <v>1071</v>
      </c>
      <c r="E9" s="612" t="s">
        <v>1072</v>
      </c>
      <c r="F9" s="1018" t="s">
        <v>1074</v>
      </c>
      <c r="G9" s="570">
        <v>1366</v>
      </c>
      <c r="I9" t="s">
        <v>1075</v>
      </c>
      <c r="J9">
        <v>348</v>
      </c>
    </row>
    <row r="10" spans="1:10">
      <c r="B10" s="1016">
        <v>6</v>
      </c>
      <c r="C10" s="1017">
        <v>44954</v>
      </c>
      <c r="D10" s="612" t="s">
        <v>1076</v>
      </c>
      <c r="E10" s="612" t="s">
        <v>1065</v>
      </c>
      <c r="F10" s="1018" t="s">
        <v>1077</v>
      </c>
      <c r="G10" s="570">
        <v>3694</v>
      </c>
      <c r="I10" t="s">
        <v>1078</v>
      </c>
      <c r="J10">
        <v>348</v>
      </c>
    </row>
    <row r="11" spans="1:10">
      <c r="B11" s="1019">
        <v>7</v>
      </c>
      <c r="C11" s="1017">
        <v>44954</v>
      </c>
      <c r="D11" s="612" t="s">
        <v>1076</v>
      </c>
      <c r="E11" s="612" t="s">
        <v>1077</v>
      </c>
      <c r="F11" s="1018" t="s">
        <v>1079</v>
      </c>
      <c r="G11" s="570">
        <v>1170</v>
      </c>
      <c r="I11" t="s">
        <v>1080</v>
      </c>
      <c r="J11">
        <v>348</v>
      </c>
    </row>
    <row r="12" spans="1:10" ht="15.75" thickBot="1">
      <c r="B12" s="1020">
        <v>8</v>
      </c>
      <c r="C12" s="1021">
        <v>44957</v>
      </c>
      <c r="D12" s="624" t="s">
        <v>1081</v>
      </c>
      <c r="E12" s="624" t="s">
        <v>1065</v>
      </c>
      <c r="F12" s="1022" t="s">
        <v>1082</v>
      </c>
      <c r="G12" s="1023">
        <v>3709</v>
      </c>
      <c r="I12" t="s">
        <v>1083</v>
      </c>
      <c r="J12">
        <v>348</v>
      </c>
    </row>
    <row r="13" spans="1:10">
      <c r="B13" s="1013">
        <v>9</v>
      </c>
      <c r="C13" s="1014">
        <v>44963</v>
      </c>
      <c r="D13" s="607" t="s">
        <v>1071</v>
      </c>
      <c r="E13" s="607" t="s">
        <v>1074</v>
      </c>
      <c r="F13" s="1015" t="s">
        <v>1066</v>
      </c>
      <c r="G13" s="817">
        <v>1614</v>
      </c>
      <c r="I13" t="s">
        <v>1084</v>
      </c>
      <c r="J13">
        <v>1366</v>
      </c>
    </row>
    <row r="14" spans="1:10">
      <c r="B14" s="1019">
        <v>10</v>
      </c>
      <c r="C14" s="1017">
        <v>44964</v>
      </c>
      <c r="D14" s="612" t="s">
        <v>1071</v>
      </c>
      <c r="E14" s="612" t="s">
        <v>1066</v>
      </c>
      <c r="F14" s="1018" t="s">
        <v>1074</v>
      </c>
      <c r="G14" s="570">
        <v>1614</v>
      </c>
      <c r="I14" t="s">
        <v>1085</v>
      </c>
      <c r="J14">
        <v>3694</v>
      </c>
    </row>
    <row r="15" spans="1:10">
      <c r="B15" s="1016">
        <v>11</v>
      </c>
      <c r="C15" s="1017">
        <v>44968</v>
      </c>
      <c r="D15" s="612" t="s">
        <v>1076</v>
      </c>
      <c r="E15" s="612" t="s">
        <v>1079</v>
      </c>
      <c r="F15" s="1018" t="s">
        <v>1077</v>
      </c>
      <c r="G15" s="570">
        <v>1170</v>
      </c>
      <c r="I15" t="s">
        <v>1086</v>
      </c>
      <c r="J15">
        <v>1170</v>
      </c>
    </row>
    <row r="16" spans="1:10">
      <c r="B16" s="1016">
        <v>12</v>
      </c>
      <c r="C16" s="1017">
        <v>44968</v>
      </c>
      <c r="D16" s="612" t="s">
        <v>1076</v>
      </c>
      <c r="E16" s="612" t="s">
        <v>1077</v>
      </c>
      <c r="F16" s="1018" t="s">
        <v>1065</v>
      </c>
      <c r="G16" s="570">
        <v>3694</v>
      </c>
    </row>
    <row r="17" spans="2:10">
      <c r="B17" s="1019">
        <v>13</v>
      </c>
      <c r="C17" s="1017">
        <v>44971</v>
      </c>
      <c r="D17" s="612" t="s">
        <v>1087</v>
      </c>
      <c r="E17" s="612" t="s">
        <v>1066</v>
      </c>
      <c r="F17" s="1018" t="s">
        <v>1065</v>
      </c>
      <c r="G17" s="570">
        <v>227</v>
      </c>
      <c r="I17" s="1024" t="s">
        <v>1088</v>
      </c>
    </row>
    <row r="18" spans="2:10" ht="15.75" thickBot="1">
      <c r="B18" s="1020">
        <v>14</v>
      </c>
      <c r="C18" s="1021">
        <v>44974</v>
      </c>
      <c r="D18" s="624" t="s">
        <v>1087</v>
      </c>
      <c r="E18" s="624" t="s">
        <v>1065</v>
      </c>
      <c r="F18" s="1022" t="s">
        <v>1066</v>
      </c>
      <c r="G18" s="574">
        <v>227</v>
      </c>
      <c r="I18" s="1025" t="s">
        <v>1089</v>
      </c>
    </row>
    <row r="19" spans="2:10">
      <c r="B19" s="1013">
        <v>15</v>
      </c>
      <c r="C19" s="1026">
        <v>44987</v>
      </c>
      <c r="D19" s="1027" t="s">
        <v>1071</v>
      </c>
      <c r="E19" s="1027" t="s">
        <v>1074</v>
      </c>
      <c r="F19" s="1015" t="s">
        <v>1066</v>
      </c>
      <c r="G19" s="817">
        <v>1614</v>
      </c>
      <c r="I19" t="s">
        <v>1067</v>
      </c>
      <c r="J19">
        <v>229</v>
      </c>
    </row>
    <row r="20" spans="2:10">
      <c r="B20" s="1019">
        <v>16</v>
      </c>
      <c r="C20" s="1028">
        <v>44987</v>
      </c>
      <c r="D20" s="612" t="s">
        <v>1071</v>
      </c>
      <c r="E20" s="612" t="s">
        <v>1066</v>
      </c>
      <c r="F20" s="1018" t="s">
        <v>1065</v>
      </c>
      <c r="G20" s="570">
        <v>227</v>
      </c>
      <c r="I20" t="s">
        <v>1069</v>
      </c>
      <c r="J20">
        <v>3714</v>
      </c>
    </row>
    <row r="21" spans="2:10">
      <c r="B21" s="1016">
        <v>17</v>
      </c>
      <c r="C21" s="1028">
        <v>44997</v>
      </c>
      <c r="D21" s="612" t="s">
        <v>1071</v>
      </c>
      <c r="E21" s="1018" t="s">
        <v>1065</v>
      </c>
      <c r="F21" s="612" t="s">
        <v>1072</v>
      </c>
      <c r="G21" s="570">
        <v>348</v>
      </c>
      <c r="I21" t="s">
        <v>1070</v>
      </c>
      <c r="J21">
        <v>349</v>
      </c>
    </row>
    <row r="22" spans="2:10" ht="15.75" thickBot="1">
      <c r="B22" s="1029">
        <v>18</v>
      </c>
      <c r="C22" s="1030">
        <v>44997</v>
      </c>
      <c r="D22" s="624" t="s">
        <v>1071</v>
      </c>
      <c r="E22" s="1022" t="s">
        <v>1072</v>
      </c>
      <c r="F22" s="1031" t="s">
        <v>1074</v>
      </c>
      <c r="G22" s="574">
        <v>1366</v>
      </c>
      <c r="I22" t="s">
        <v>1073</v>
      </c>
      <c r="J22">
        <v>3698</v>
      </c>
    </row>
    <row r="23" spans="2:10">
      <c r="B23" s="1013">
        <v>19</v>
      </c>
      <c r="C23" s="1014">
        <v>45017</v>
      </c>
      <c r="D23" s="607" t="s">
        <v>1071</v>
      </c>
      <c r="E23" s="607" t="s">
        <v>1074</v>
      </c>
      <c r="F23" s="1015" t="s">
        <v>1066</v>
      </c>
      <c r="G23" s="758">
        <v>1614</v>
      </c>
      <c r="I23" t="s">
        <v>1075</v>
      </c>
      <c r="J23">
        <v>1618</v>
      </c>
    </row>
    <row r="24" spans="2:10">
      <c r="B24" s="1016">
        <v>20</v>
      </c>
      <c r="C24" s="1028">
        <v>45017</v>
      </c>
      <c r="D24" s="612" t="s">
        <v>1071</v>
      </c>
      <c r="E24" s="612" t="s">
        <v>1066</v>
      </c>
      <c r="F24" s="1018" t="s">
        <v>1065</v>
      </c>
      <c r="G24" s="632">
        <v>348</v>
      </c>
      <c r="I24" t="s">
        <v>1078</v>
      </c>
      <c r="J24">
        <v>229</v>
      </c>
    </row>
    <row r="25" spans="2:10">
      <c r="B25" s="1016">
        <v>21</v>
      </c>
      <c r="C25" s="1028">
        <v>45025</v>
      </c>
      <c r="D25" s="612" t="s">
        <v>1071</v>
      </c>
      <c r="E25" s="612" t="s">
        <v>1065</v>
      </c>
      <c r="F25" s="1018" t="s">
        <v>1072</v>
      </c>
      <c r="G25" s="632">
        <v>348</v>
      </c>
      <c r="I25" t="s">
        <v>1080</v>
      </c>
      <c r="J25">
        <v>1618</v>
      </c>
    </row>
    <row r="26" spans="2:10" ht="15.75" thickBot="1">
      <c r="B26" s="1032">
        <v>22</v>
      </c>
      <c r="C26" s="1033">
        <v>45025</v>
      </c>
      <c r="D26" s="900" t="s">
        <v>1071</v>
      </c>
      <c r="E26" s="900" t="s">
        <v>1072</v>
      </c>
      <c r="F26" s="1034" t="s">
        <v>1074</v>
      </c>
      <c r="G26" s="1035">
        <v>1366</v>
      </c>
      <c r="I26" t="s">
        <v>1083</v>
      </c>
      <c r="J26">
        <v>1173</v>
      </c>
    </row>
    <row r="27" spans="2:10">
      <c r="B27" s="1013">
        <v>23</v>
      </c>
      <c r="C27" s="1014">
        <v>45054</v>
      </c>
      <c r="D27" s="607" t="s">
        <v>1090</v>
      </c>
      <c r="E27" s="607" t="s">
        <v>1065</v>
      </c>
      <c r="F27" s="607" t="s">
        <v>1066</v>
      </c>
      <c r="G27" s="1036">
        <v>227</v>
      </c>
      <c r="I27" t="s">
        <v>1084</v>
      </c>
      <c r="J27">
        <v>1386</v>
      </c>
    </row>
    <row r="28" spans="2:10">
      <c r="B28" s="1016">
        <v>24</v>
      </c>
      <c r="C28" s="1028">
        <v>45055</v>
      </c>
      <c r="D28" s="612" t="s">
        <v>1090</v>
      </c>
      <c r="E28" s="612" t="s">
        <v>1066</v>
      </c>
      <c r="F28" s="612" t="s">
        <v>1065</v>
      </c>
      <c r="G28" s="1037">
        <v>227</v>
      </c>
      <c r="I28" t="s">
        <v>1085</v>
      </c>
      <c r="J28">
        <v>3698</v>
      </c>
    </row>
    <row r="29" spans="2:10">
      <c r="B29" s="1016">
        <v>25</v>
      </c>
      <c r="C29" s="1028">
        <v>45062</v>
      </c>
      <c r="D29" s="612" t="s">
        <v>1091</v>
      </c>
      <c r="E29" s="612" t="s">
        <v>1065</v>
      </c>
      <c r="F29" s="612" t="s">
        <v>1066</v>
      </c>
      <c r="G29" s="1037">
        <v>227</v>
      </c>
      <c r="I29" t="s">
        <v>1086</v>
      </c>
      <c r="J29">
        <v>1173</v>
      </c>
    </row>
    <row r="30" spans="2:10" ht="15.75" thickBot="1">
      <c r="B30" s="1020">
        <v>26</v>
      </c>
      <c r="C30" s="1030">
        <v>45062</v>
      </c>
      <c r="D30" s="624" t="s">
        <v>1091</v>
      </c>
      <c r="E30" s="624" t="s">
        <v>1066</v>
      </c>
      <c r="F30" s="624" t="s">
        <v>1065</v>
      </c>
      <c r="G30" s="1038">
        <v>227</v>
      </c>
      <c r="I30" t="s">
        <v>1092</v>
      </c>
      <c r="J30">
        <v>7532</v>
      </c>
    </row>
    <row r="31" spans="2:10">
      <c r="B31" s="1019">
        <v>27</v>
      </c>
      <c r="C31" s="1017">
        <v>45187</v>
      </c>
      <c r="D31" s="1040" t="s">
        <v>1093</v>
      </c>
      <c r="E31" s="1040" t="s">
        <v>1065</v>
      </c>
      <c r="F31" s="1040" t="s">
        <v>1066</v>
      </c>
      <c r="G31" s="1042">
        <v>229</v>
      </c>
    </row>
    <row r="32" spans="2:10">
      <c r="B32" s="1016">
        <v>28</v>
      </c>
      <c r="C32" s="1028">
        <v>45187</v>
      </c>
      <c r="D32" s="612" t="s">
        <v>1093</v>
      </c>
      <c r="E32" s="612" t="s">
        <v>1066</v>
      </c>
      <c r="F32" s="612" t="s">
        <v>1065</v>
      </c>
      <c r="G32" s="1037">
        <v>229</v>
      </c>
    </row>
    <row r="33" spans="2:7">
      <c r="B33" s="1016">
        <v>29</v>
      </c>
      <c r="C33" s="1028">
        <v>45179</v>
      </c>
      <c r="D33" s="612" t="s">
        <v>1094</v>
      </c>
      <c r="E33" s="612" t="s">
        <v>1065</v>
      </c>
      <c r="F33" s="612" t="s">
        <v>1066</v>
      </c>
      <c r="G33" s="1037">
        <v>229</v>
      </c>
    </row>
    <row r="34" spans="2:7">
      <c r="B34" s="1016">
        <v>30</v>
      </c>
      <c r="C34" s="1028">
        <v>45179</v>
      </c>
      <c r="D34" s="612" t="s">
        <v>1094</v>
      </c>
      <c r="E34" s="612" t="s">
        <v>1066</v>
      </c>
      <c r="F34" s="612" t="s">
        <v>1065</v>
      </c>
      <c r="G34" s="1037">
        <v>229</v>
      </c>
    </row>
    <row r="35" spans="2:7">
      <c r="B35" s="1016">
        <v>31</v>
      </c>
      <c r="C35" s="1028">
        <v>45180</v>
      </c>
      <c r="D35" s="612" t="s">
        <v>1095</v>
      </c>
      <c r="E35" s="612" t="s">
        <v>1065</v>
      </c>
      <c r="F35" s="612" t="s">
        <v>1066</v>
      </c>
      <c r="G35" s="1037">
        <v>229</v>
      </c>
    </row>
    <row r="36" spans="2:7">
      <c r="B36" s="1016">
        <v>32</v>
      </c>
      <c r="C36" s="1028">
        <v>45181</v>
      </c>
      <c r="D36" s="612" t="s">
        <v>1095</v>
      </c>
      <c r="E36" s="612" t="s">
        <v>1066</v>
      </c>
      <c r="F36" s="612" t="s">
        <v>1065</v>
      </c>
      <c r="G36" s="1037">
        <v>229</v>
      </c>
    </row>
    <row r="37" spans="2:7">
      <c r="B37" s="1016">
        <v>33</v>
      </c>
      <c r="C37" s="1028">
        <v>45195</v>
      </c>
      <c r="D37" s="612" t="s">
        <v>1095</v>
      </c>
      <c r="E37" s="612" t="s">
        <v>1065</v>
      </c>
      <c r="F37" s="612" t="s">
        <v>1066</v>
      </c>
      <c r="G37" s="1037">
        <v>229</v>
      </c>
    </row>
    <row r="38" spans="2:7" ht="15.75" thickBot="1">
      <c r="B38" s="1020">
        <v>34</v>
      </c>
      <c r="C38" s="1030">
        <v>45195</v>
      </c>
      <c r="D38" s="624" t="s">
        <v>1095</v>
      </c>
      <c r="E38" s="624" t="s">
        <v>1066</v>
      </c>
      <c r="F38" s="624" t="s">
        <v>1065</v>
      </c>
      <c r="G38" s="1038">
        <v>229</v>
      </c>
    </row>
    <row r="39" spans="2:7">
      <c r="B39" s="1019">
        <v>35</v>
      </c>
      <c r="C39" s="1017">
        <v>45219</v>
      </c>
      <c r="D39" s="1040" t="s">
        <v>1093</v>
      </c>
      <c r="E39" s="1040" t="s">
        <v>1065</v>
      </c>
      <c r="F39" s="1040" t="s">
        <v>1066</v>
      </c>
      <c r="G39" s="1042">
        <v>229</v>
      </c>
    </row>
    <row r="40" spans="2:7">
      <c r="B40" s="1016">
        <v>36</v>
      </c>
      <c r="C40" s="1028">
        <v>45221</v>
      </c>
      <c r="D40" s="612" t="s">
        <v>1093</v>
      </c>
      <c r="E40" s="612" t="s">
        <v>1066</v>
      </c>
      <c r="F40" s="1039" t="s">
        <v>1096</v>
      </c>
      <c r="G40" s="1037">
        <v>7532</v>
      </c>
    </row>
    <row r="41" spans="2:7">
      <c r="B41" s="1016">
        <v>37</v>
      </c>
      <c r="C41" s="1028">
        <v>45228</v>
      </c>
      <c r="D41" s="612" t="s">
        <v>1093</v>
      </c>
      <c r="E41" s="1039" t="s">
        <v>1096</v>
      </c>
      <c r="F41" s="612" t="s">
        <v>1066</v>
      </c>
      <c r="G41" s="1037">
        <v>7532</v>
      </c>
    </row>
    <row r="42" spans="2:7">
      <c r="B42" s="1016">
        <v>38</v>
      </c>
      <c r="C42" s="1028">
        <v>45229</v>
      </c>
      <c r="D42" s="612" t="s">
        <v>1093</v>
      </c>
      <c r="E42" s="612" t="s">
        <v>1066</v>
      </c>
      <c r="F42" s="612" t="s">
        <v>1065</v>
      </c>
      <c r="G42" s="1037">
        <v>229</v>
      </c>
    </row>
    <row r="43" spans="2:7">
      <c r="B43" s="1016">
        <v>39</v>
      </c>
      <c r="C43" s="1028">
        <v>45220</v>
      </c>
      <c r="D43" s="612" t="s">
        <v>1095</v>
      </c>
      <c r="E43" s="612" t="s">
        <v>1065</v>
      </c>
      <c r="F43" s="612" t="s">
        <v>1066</v>
      </c>
      <c r="G43" s="1037">
        <v>229</v>
      </c>
    </row>
    <row r="44" spans="2:7">
      <c r="B44" s="1016">
        <v>40</v>
      </c>
      <c r="C44" s="1028">
        <v>45221</v>
      </c>
      <c r="D44" s="612" t="s">
        <v>1095</v>
      </c>
      <c r="E44" s="612" t="s">
        <v>1066</v>
      </c>
      <c r="F44" s="1039" t="s">
        <v>1096</v>
      </c>
      <c r="G44" s="1037">
        <v>7532</v>
      </c>
    </row>
    <row r="45" spans="2:7">
      <c r="B45" s="1016">
        <v>41</v>
      </c>
      <c r="C45" s="1028">
        <v>45224</v>
      </c>
      <c r="D45" s="612" t="s">
        <v>1097</v>
      </c>
      <c r="E45" s="612" t="s">
        <v>1065</v>
      </c>
      <c r="F45" s="612" t="s">
        <v>1066</v>
      </c>
      <c r="G45" s="1037">
        <v>229</v>
      </c>
    </row>
    <row r="46" spans="2:7">
      <c r="B46" s="1016">
        <v>42</v>
      </c>
      <c r="C46" s="1028">
        <v>45224</v>
      </c>
      <c r="D46" s="612" t="s">
        <v>1097</v>
      </c>
      <c r="E46" s="612" t="s">
        <v>1066</v>
      </c>
      <c r="F46" s="612" t="s">
        <v>1065</v>
      </c>
      <c r="G46" s="1037">
        <v>229</v>
      </c>
    </row>
    <row r="47" spans="2:7">
      <c r="B47" s="1016">
        <v>43</v>
      </c>
      <c r="C47" s="1028">
        <v>45228</v>
      </c>
      <c r="D47" s="612" t="s">
        <v>1098</v>
      </c>
      <c r="E47" s="612" t="s">
        <v>1065</v>
      </c>
      <c r="F47" s="612" t="s">
        <v>1066</v>
      </c>
      <c r="G47" s="1037">
        <v>229</v>
      </c>
    </row>
    <row r="48" spans="2:7" ht="15.75" thickBot="1">
      <c r="B48" s="1020">
        <v>44</v>
      </c>
      <c r="C48" s="1030">
        <v>45228</v>
      </c>
      <c r="D48" s="624" t="s">
        <v>1098</v>
      </c>
      <c r="E48" s="624" t="s">
        <v>1066</v>
      </c>
      <c r="F48" s="624" t="s">
        <v>1065</v>
      </c>
      <c r="G48" s="1038">
        <v>229</v>
      </c>
    </row>
    <row r="49" spans="2:7">
      <c r="B49" s="1019">
        <v>45</v>
      </c>
      <c r="C49" s="1017">
        <v>45248</v>
      </c>
      <c r="D49" s="1040" t="s">
        <v>1097</v>
      </c>
      <c r="E49" s="1040" t="s">
        <v>1065</v>
      </c>
      <c r="F49" s="1040" t="s">
        <v>1077</v>
      </c>
      <c r="G49" s="645">
        <f>J22</f>
        <v>3698</v>
      </c>
    </row>
    <row r="50" spans="2:7">
      <c r="B50" s="1016">
        <v>46</v>
      </c>
      <c r="C50" s="1028">
        <v>45248</v>
      </c>
      <c r="D50" s="612" t="s">
        <v>1097</v>
      </c>
      <c r="E50" s="612" t="s">
        <v>1077</v>
      </c>
      <c r="F50" s="612" t="s">
        <v>1079</v>
      </c>
      <c r="G50" s="613">
        <f>J29</f>
        <v>1173</v>
      </c>
    </row>
    <row r="51" spans="2:7">
      <c r="B51" s="1016">
        <v>47</v>
      </c>
      <c r="C51" s="1028">
        <v>45248</v>
      </c>
      <c r="D51" s="612" t="s">
        <v>1098</v>
      </c>
      <c r="E51" s="612" t="s">
        <v>1065</v>
      </c>
      <c r="F51" s="612" t="s">
        <v>1077</v>
      </c>
      <c r="G51" s="613">
        <f>J22</f>
        <v>3698</v>
      </c>
    </row>
    <row r="52" spans="2:7" ht="15.75" thickBot="1">
      <c r="B52" s="1020">
        <v>48</v>
      </c>
      <c r="C52" s="1030">
        <v>45248</v>
      </c>
      <c r="D52" s="624" t="s">
        <v>1098</v>
      </c>
      <c r="E52" s="624" t="s">
        <v>1077</v>
      </c>
      <c r="F52" s="624" t="s">
        <v>1079</v>
      </c>
      <c r="G52" s="663">
        <f>J29</f>
        <v>1173</v>
      </c>
    </row>
    <row r="53" spans="2:7">
      <c r="B53" s="1013">
        <v>49</v>
      </c>
      <c r="C53" s="1766">
        <v>45282</v>
      </c>
      <c r="D53" s="607" t="s">
        <v>1097</v>
      </c>
      <c r="E53" s="607" t="s">
        <v>1079</v>
      </c>
      <c r="F53" s="607" t="s">
        <v>1077</v>
      </c>
      <c r="G53" s="608">
        <v>1173</v>
      </c>
    </row>
    <row r="54" spans="2:7">
      <c r="B54" s="1016">
        <v>50</v>
      </c>
      <c r="C54" s="1765">
        <v>45282</v>
      </c>
      <c r="D54" s="612" t="s">
        <v>1097</v>
      </c>
      <c r="E54" s="612" t="s">
        <v>1077</v>
      </c>
      <c r="F54" s="612" t="s">
        <v>1079</v>
      </c>
      <c r="G54" s="613">
        <v>1173</v>
      </c>
    </row>
    <row r="55" spans="2:7">
      <c r="B55" s="1016">
        <v>51</v>
      </c>
      <c r="C55" s="1765">
        <v>45282</v>
      </c>
      <c r="D55" s="612" t="s">
        <v>1098</v>
      </c>
      <c r="E55" s="612" t="s">
        <v>1079</v>
      </c>
      <c r="F55" s="612" t="s">
        <v>1077</v>
      </c>
      <c r="G55" s="613">
        <v>1173</v>
      </c>
    </row>
    <row r="56" spans="2:7">
      <c r="B56" s="1020">
        <v>52</v>
      </c>
      <c r="C56" s="1767">
        <v>45282</v>
      </c>
      <c r="D56" s="624" t="s">
        <v>1098</v>
      </c>
      <c r="E56" s="624" t="s">
        <v>1077</v>
      </c>
      <c r="F56" s="624" t="s">
        <v>1079</v>
      </c>
      <c r="G56" s="663">
        <v>1173</v>
      </c>
    </row>
    <row r="57" spans="2:7">
      <c r="B57" s="1040">
        <v>53</v>
      </c>
      <c r="C57" s="1767">
        <v>45322</v>
      </c>
      <c r="D57" s="1040" t="s">
        <v>1093</v>
      </c>
      <c r="E57" s="1040" t="s">
        <v>1099</v>
      </c>
      <c r="F57" s="1040" t="s">
        <v>1100</v>
      </c>
      <c r="G57">
        <v>227</v>
      </c>
    </row>
    <row r="58" spans="2:7">
      <c r="B58" s="612"/>
      <c r="C58" s="612"/>
      <c r="D58" s="612"/>
      <c r="E58" s="612"/>
      <c r="F58" s="612"/>
      <c r="G58" s="612"/>
    </row>
    <row r="59" spans="2:7">
      <c r="B59" s="612"/>
      <c r="C59" s="612"/>
      <c r="D59" s="612"/>
      <c r="E59" s="612"/>
      <c r="F59" s="612"/>
      <c r="G59" s="612"/>
    </row>
    <row r="60" spans="2:7">
      <c r="B60" s="612"/>
      <c r="C60" s="612"/>
      <c r="D60" s="612"/>
      <c r="E60" s="612"/>
      <c r="F60" s="612"/>
      <c r="G60" s="612"/>
    </row>
    <row r="61" spans="2:7">
      <c r="B61" s="612"/>
      <c r="C61" s="612"/>
      <c r="D61" s="612"/>
      <c r="E61" s="612"/>
      <c r="F61" s="612"/>
      <c r="G61" s="612"/>
    </row>
    <row r="62" spans="2:7">
      <c r="B62" s="612"/>
      <c r="C62" s="612"/>
      <c r="D62" s="612"/>
      <c r="E62" s="612"/>
      <c r="F62" s="612"/>
      <c r="G62" s="612"/>
    </row>
    <row r="63" spans="2:7">
      <c r="B63" s="612"/>
      <c r="C63" s="612"/>
      <c r="D63" s="612"/>
      <c r="E63" s="612"/>
      <c r="F63" s="612"/>
      <c r="G63" s="612"/>
    </row>
    <row r="64" spans="2:7">
      <c r="B64" s="612"/>
      <c r="C64" s="612"/>
      <c r="D64" s="612"/>
      <c r="E64" s="612"/>
      <c r="F64" s="612"/>
      <c r="G64" s="612"/>
    </row>
  </sheetData>
  <mergeCells count="1">
    <mergeCell ref="B3:G3"/>
  </mergeCells>
  <hyperlinks>
    <hyperlink ref="I18" r:id="rId1" xr:uid="{E2D02B88-3E3F-4DF4-BF0B-BCF904285F9E}"/>
  </hyperlinks>
  <pageMargins left="0.7" right="0.7" top="0.75" bottom="0.75" header="0.3" footer="0.3"/>
  <pageSetup paperSize="9" orientation="portrait" verticalDpi="0" r:id="rId2"/>
  <drawing r:id="rId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DF84A-1346-4E0C-A8D8-3026C380379C}">
  <dimension ref="A1:J34"/>
  <sheetViews>
    <sheetView showGridLines="0" workbookViewId="0"/>
  </sheetViews>
  <sheetFormatPr defaultRowHeight="15"/>
  <cols>
    <col min="1" max="1" width="22" bestFit="1" customWidth="1"/>
    <col min="2" max="2" width="10.85546875" bestFit="1" customWidth="1"/>
    <col min="3" max="3" width="13.28515625" bestFit="1" customWidth="1"/>
    <col min="4" max="4" width="16.85546875" bestFit="1" customWidth="1"/>
    <col min="5" max="5" width="18" bestFit="1" customWidth="1"/>
    <col min="6" max="6" width="13.28515625" bestFit="1" customWidth="1"/>
    <col min="7" max="7" width="18" bestFit="1" customWidth="1"/>
    <col min="8" max="8" width="34.28515625" bestFit="1" customWidth="1"/>
  </cols>
  <sheetData>
    <row r="1" spans="1:10" ht="18.75">
      <c r="B1" s="2057" t="s">
        <v>715</v>
      </c>
      <c r="C1" s="2057"/>
      <c r="D1" s="2057"/>
      <c r="E1" s="2057"/>
      <c r="F1" s="2057"/>
      <c r="G1" s="2057"/>
      <c r="H1" s="2057"/>
      <c r="I1" s="2057"/>
      <c r="J1" s="2057"/>
    </row>
    <row r="3" spans="1:10" ht="15.75" thickBot="1">
      <c r="B3" s="2140" t="s">
        <v>1101</v>
      </c>
      <c r="C3" s="2140"/>
      <c r="D3" s="2140"/>
      <c r="E3" s="2140"/>
      <c r="F3" s="2140"/>
      <c r="G3" s="2140"/>
    </row>
    <row r="4" spans="1:10" ht="15.75" thickBot="1">
      <c r="A4" s="880" t="s">
        <v>338</v>
      </c>
      <c r="B4" s="1043">
        <v>2023</v>
      </c>
      <c r="C4" s="2141" t="s">
        <v>1102</v>
      </c>
      <c r="D4" s="2142"/>
      <c r="E4" s="2143"/>
      <c r="F4" s="2144" t="s">
        <v>1103</v>
      </c>
      <c r="G4" s="2145"/>
    </row>
    <row r="5" spans="1:10" ht="15.75" thickBot="1">
      <c r="A5" t="s">
        <v>242</v>
      </c>
      <c r="B5" s="1044" t="s">
        <v>121</v>
      </c>
      <c r="C5" s="1045" t="s">
        <v>1104</v>
      </c>
      <c r="D5" s="1046" t="s">
        <v>1105</v>
      </c>
      <c r="E5" s="1047" t="s">
        <v>1106</v>
      </c>
      <c r="F5" s="1046" t="s">
        <v>1104</v>
      </c>
      <c r="G5" s="1047" t="s">
        <v>1106</v>
      </c>
    </row>
    <row r="6" spans="1:10">
      <c r="B6" s="529" t="s">
        <v>127</v>
      </c>
      <c r="C6" s="1048">
        <v>45.5</v>
      </c>
      <c r="D6" s="1049">
        <v>3716</v>
      </c>
      <c r="E6" s="1050">
        <v>5.4</v>
      </c>
      <c r="F6" s="1048">
        <v>169.5</v>
      </c>
      <c r="G6" s="1050">
        <v>5.4</v>
      </c>
    </row>
    <row r="7" spans="1:10">
      <c r="B7" s="529" t="s">
        <v>128</v>
      </c>
      <c r="C7" s="1051">
        <v>73</v>
      </c>
      <c r="D7" s="1049">
        <v>3716</v>
      </c>
      <c r="E7" s="1050">
        <v>5.4</v>
      </c>
      <c r="F7" s="1051">
        <v>182</v>
      </c>
      <c r="G7" s="1050">
        <v>5.4</v>
      </c>
    </row>
    <row r="8" spans="1:10">
      <c r="B8" s="529" t="s">
        <v>129</v>
      </c>
      <c r="C8" s="1051">
        <v>152</v>
      </c>
      <c r="D8" s="1049">
        <v>3716</v>
      </c>
      <c r="E8" s="1050">
        <v>5.4</v>
      </c>
      <c r="F8" s="1051">
        <v>140</v>
      </c>
      <c r="G8" s="1050">
        <v>5.4</v>
      </c>
    </row>
    <row r="9" spans="1:10">
      <c r="B9" s="529" t="s">
        <v>130</v>
      </c>
      <c r="C9" s="1051">
        <v>90</v>
      </c>
      <c r="D9" s="1049">
        <v>3716</v>
      </c>
      <c r="E9" s="1050">
        <v>5.4</v>
      </c>
      <c r="F9" s="1051">
        <v>177</v>
      </c>
      <c r="G9" s="1050">
        <v>5.4</v>
      </c>
    </row>
    <row r="10" spans="1:10">
      <c r="B10" s="529" t="s">
        <v>132</v>
      </c>
      <c r="C10" s="1051">
        <v>142</v>
      </c>
      <c r="D10" s="1049">
        <v>3716</v>
      </c>
      <c r="E10" s="1050">
        <v>5.4</v>
      </c>
      <c r="F10" s="1051">
        <v>293.5</v>
      </c>
      <c r="G10" s="1050">
        <v>5.4</v>
      </c>
    </row>
    <row r="11" spans="1:10">
      <c r="B11" s="529" t="s">
        <v>134</v>
      </c>
      <c r="C11" s="1051">
        <v>102</v>
      </c>
      <c r="D11" s="1049">
        <v>3716</v>
      </c>
      <c r="E11" s="1050">
        <v>5.4</v>
      </c>
      <c r="F11" s="1051">
        <v>196</v>
      </c>
      <c r="G11" s="1050">
        <v>5.4</v>
      </c>
    </row>
    <row r="12" spans="1:10">
      <c r="B12" s="529" t="s">
        <v>136</v>
      </c>
      <c r="C12" s="1052">
        <v>88</v>
      </c>
      <c r="D12" s="1049">
        <v>3716</v>
      </c>
      <c r="E12" s="1050">
        <v>5.4</v>
      </c>
      <c r="F12" s="1052">
        <v>263</v>
      </c>
      <c r="G12" s="1050">
        <v>5.4</v>
      </c>
    </row>
    <row r="13" spans="1:10">
      <c r="B13" s="529" t="s">
        <v>138</v>
      </c>
      <c r="C13" s="1052">
        <v>213</v>
      </c>
      <c r="D13" s="1049">
        <v>3716</v>
      </c>
      <c r="E13" s="1050">
        <v>5.4</v>
      </c>
      <c r="F13" s="1052">
        <v>488</v>
      </c>
      <c r="G13" s="1050">
        <v>5.4</v>
      </c>
      <c r="H13" t="s">
        <v>1107</v>
      </c>
    </row>
    <row r="14" spans="1:10">
      <c r="B14" s="529" t="s">
        <v>139</v>
      </c>
      <c r="C14" s="1052">
        <v>64</v>
      </c>
      <c r="D14" s="1049">
        <v>3716</v>
      </c>
      <c r="E14" s="1050">
        <v>5.4</v>
      </c>
      <c r="F14" s="1052">
        <v>148</v>
      </c>
      <c r="G14" s="1050">
        <v>5.4</v>
      </c>
    </row>
    <row r="15" spans="1:10">
      <c r="B15" s="529" t="s">
        <v>140</v>
      </c>
      <c r="C15" s="1052">
        <v>38</v>
      </c>
      <c r="D15" s="1049">
        <v>3716</v>
      </c>
      <c r="E15" s="1050">
        <v>5.4</v>
      </c>
      <c r="F15" s="1052">
        <v>95</v>
      </c>
      <c r="G15" s="1050">
        <v>5.4</v>
      </c>
    </row>
    <row r="16" spans="1:10">
      <c r="B16" s="529" t="s">
        <v>142</v>
      </c>
      <c r="C16" s="1052">
        <v>46</v>
      </c>
      <c r="D16" s="1049">
        <v>3716</v>
      </c>
      <c r="E16" s="1050">
        <v>5.4</v>
      </c>
      <c r="F16" s="1052">
        <v>176</v>
      </c>
      <c r="G16" s="1050">
        <v>5.4</v>
      </c>
    </row>
    <row r="17" spans="1:7" ht="15.75" thickBot="1">
      <c r="B17" s="537" t="s">
        <v>144</v>
      </c>
      <c r="C17" s="1053">
        <v>129.9</v>
      </c>
      <c r="D17" s="1054">
        <v>3716</v>
      </c>
      <c r="E17" s="1055">
        <v>5.4</v>
      </c>
      <c r="F17" s="1053">
        <v>243</v>
      </c>
      <c r="G17" s="1055">
        <v>5.4</v>
      </c>
    </row>
    <row r="20" spans="1:7" ht="15.75" thickBot="1">
      <c r="B20" s="2140" t="s">
        <v>1108</v>
      </c>
      <c r="C20" s="2140"/>
      <c r="D20" s="2140"/>
      <c r="E20" s="2140"/>
      <c r="F20" s="2140"/>
      <c r="G20" s="2140"/>
    </row>
    <row r="21" spans="1:7" ht="15.75" thickBot="1">
      <c r="A21" s="880" t="s">
        <v>338</v>
      </c>
      <c r="B21" s="1043">
        <v>2024</v>
      </c>
      <c r="C21" s="2141" t="s">
        <v>1102</v>
      </c>
      <c r="D21" s="2142"/>
      <c r="E21" s="2143"/>
      <c r="F21" s="2144" t="s">
        <v>1103</v>
      </c>
      <c r="G21" s="2145"/>
    </row>
    <row r="22" spans="1:7" ht="15.75" thickBot="1">
      <c r="A22" t="s">
        <v>242</v>
      </c>
      <c r="B22" s="1044" t="s">
        <v>121</v>
      </c>
      <c r="C22" s="1045" t="s">
        <v>1104</v>
      </c>
      <c r="D22" s="1046" t="s">
        <v>1105</v>
      </c>
      <c r="E22" s="1047" t="s">
        <v>1106</v>
      </c>
      <c r="F22" s="1046" t="s">
        <v>1104</v>
      </c>
      <c r="G22" s="1047" t="s">
        <v>1106</v>
      </c>
    </row>
    <row r="23" spans="1:7">
      <c r="B23" s="529" t="s">
        <v>127</v>
      </c>
      <c r="C23" s="1048">
        <v>68</v>
      </c>
      <c r="D23" s="1049">
        <v>3716</v>
      </c>
      <c r="E23" s="1050">
        <v>5.4</v>
      </c>
      <c r="F23" s="1048">
        <v>117</v>
      </c>
      <c r="G23" s="1050">
        <v>5.4</v>
      </c>
    </row>
    <row r="24" spans="1:7">
      <c r="B24" s="529" t="s">
        <v>128</v>
      </c>
      <c r="C24" s="1051"/>
      <c r="D24" s="1049">
        <v>3716</v>
      </c>
      <c r="E24" s="1050">
        <v>5.4</v>
      </c>
      <c r="F24" s="1051"/>
      <c r="G24" s="1050">
        <v>5.4</v>
      </c>
    </row>
    <row r="25" spans="1:7">
      <c r="B25" s="529" t="s">
        <v>129</v>
      </c>
      <c r="C25" s="1051"/>
      <c r="D25" s="1049">
        <v>3716</v>
      </c>
      <c r="E25" s="1050">
        <v>5.4</v>
      </c>
      <c r="F25" s="1051"/>
      <c r="G25" s="1050">
        <v>5.4</v>
      </c>
    </row>
    <row r="26" spans="1:7">
      <c r="B26" s="529" t="s">
        <v>130</v>
      </c>
      <c r="C26" s="1051"/>
      <c r="D26" s="1049">
        <v>3716</v>
      </c>
      <c r="E26" s="1050">
        <v>5.4</v>
      </c>
      <c r="F26" s="1051"/>
      <c r="G26" s="1050">
        <v>5.4</v>
      </c>
    </row>
    <row r="27" spans="1:7">
      <c r="B27" s="529" t="s">
        <v>132</v>
      </c>
      <c r="C27" s="1051"/>
      <c r="D27" s="1049">
        <v>3716</v>
      </c>
      <c r="E27" s="1050">
        <v>5.4</v>
      </c>
      <c r="F27" s="1051"/>
      <c r="G27" s="1050">
        <v>5.4</v>
      </c>
    </row>
    <row r="28" spans="1:7">
      <c r="B28" s="529" t="s">
        <v>134</v>
      </c>
      <c r="C28" s="1051"/>
      <c r="D28" s="1049">
        <v>3716</v>
      </c>
      <c r="E28" s="1050">
        <v>5.4</v>
      </c>
      <c r="F28" s="1051"/>
      <c r="G28" s="1050">
        <v>5.4</v>
      </c>
    </row>
    <row r="29" spans="1:7">
      <c r="B29" s="529" t="s">
        <v>136</v>
      </c>
      <c r="C29" s="1052"/>
      <c r="D29" s="1049">
        <v>3716</v>
      </c>
      <c r="E29" s="1050">
        <v>5.4</v>
      </c>
      <c r="F29" s="1052"/>
      <c r="G29" s="1050">
        <v>5.4</v>
      </c>
    </row>
    <row r="30" spans="1:7">
      <c r="B30" s="529" t="s">
        <v>138</v>
      </c>
      <c r="C30" s="1052"/>
      <c r="D30" s="1049">
        <v>3716</v>
      </c>
      <c r="E30" s="1050">
        <v>5.4</v>
      </c>
      <c r="F30" s="1052"/>
      <c r="G30" s="1050">
        <v>5.4</v>
      </c>
    </row>
    <row r="31" spans="1:7">
      <c r="B31" s="529" t="s">
        <v>139</v>
      </c>
      <c r="C31" s="1052"/>
      <c r="D31" s="1049">
        <v>3716</v>
      </c>
      <c r="E31" s="1050">
        <v>5.4</v>
      </c>
      <c r="F31" s="1052"/>
      <c r="G31" s="1050">
        <v>5.4</v>
      </c>
    </row>
    <row r="32" spans="1:7">
      <c r="B32" s="529" t="s">
        <v>140</v>
      </c>
      <c r="C32" s="1052"/>
      <c r="D32" s="1049">
        <v>3716</v>
      </c>
      <c r="E32" s="1050">
        <v>5.4</v>
      </c>
      <c r="F32" s="1052"/>
      <c r="G32" s="1050">
        <v>5.4</v>
      </c>
    </row>
    <row r="33" spans="2:7">
      <c r="B33" s="529" t="s">
        <v>142</v>
      </c>
      <c r="C33" s="1052"/>
      <c r="D33" s="1049">
        <v>3716</v>
      </c>
      <c r="E33" s="1050">
        <v>5.4</v>
      </c>
      <c r="F33" s="1052"/>
      <c r="G33" s="1050">
        <v>5.4</v>
      </c>
    </row>
    <row r="34" spans="2:7" ht="15.75" thickBot="1">
      <c r="B34" s="537" t="s">
        <v>144</v>
      </c>
      <c r="C34" s="1053"/>
      <c r="D34" s="1054">
        <v>3716</v>
      </c>
      <c r="E34" s="1055">
        <v>5.4</v>
      </c>
      <c r="F34" s="1053"/>
      <c r="G34" s="1055">
        <v>5.4</v>
      </c>
    </row>
  </sheetData>
  <mergeCells count="7">
    <mergeCell ref="B1:J1"/>
    <mergeCell ref="B20:G20"/>
    <mergeCell ref="C21:E21"/>
    <mergeCell ref="F21:G21"/>
    <mergeCell ref="B3:G3"/>
    <mergeCell ref="C4:E4"/>
    <mergeCell ref="F4:G4"/>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7B9EC-2882-48D5-BEC9-8E3F7EB12CCF}">
  <dimension ref="A1:AC49"/>
  <sheetViews>
    <sheetView showGridLines="0" workbookViewId="0">
      <selection activeCell="A3" sqref="A3"/>
    </sheetView>
  </sheetViews>
  <sheetFormatPr defaultRowHeight="15"/>
  <cols>
    <col min="1" max="1" width="25.5703125" customWidth="1"/>
    <col min="2" max="2" width="3.28515625" customWidth="1"/>
    <col min="3" max="3" width="30" bestFit="1" customWidth="1"/>
    <col min="4" max="4" width="9.140625" bestFit="1" customWidth="1"/>
    <col min="5" max="14" width="9" bestFit="1" customWidth="1"/>
    <col min="15" max="15" width="9" customWidth="1"/>
    <col min="16" max="16" width="11.140625" bestFit="1" customWidth="1"/>
    <col min="17" max="17" width="1.85546875" customWidth="1"/>
    <col min="18" max="28" width="9" bestFit="1" customWidth="1"/>
    <col min="29" max="29" width="8.28515625" customWidth="1"/>
  </cols>
  <sheetData>
    <row r="1" spans="1:29" ht="15.75" thickBot="1"/>
    <row r="2" spans="1:29" ht="15.75" thickBot="1">
      <c r="C2" s="1072">
        <v>2023</v>
      </c>
    </row>
    <row r="3" spans="1:29">
      <c r="C3" s="1057" t="s">
        <v>1109</v>
      </c>
      <c r="D3" s="1058"/>
      <c r="E3" s="1058"/>
      <c r="F3" s="1058"/>
      <c r="G3" s="1058"/>
      <c r="H3" s="1058"/>
      <c r="I3" s="1058"/>
      <c r="J3" s="1058"/>
      <c r="K3" s="1058"/>
      <c r="L3" s="1058"/>
      <c r="M3" s="1058"/>
      <c r="N3" s="1058"/>
      <c r="O3" s="1058"/>
      <c r="P3" s="1058"/>
      <c r="Q3" s="1058"/>
      <c r="R3" s="1058"/>
      <c r="S3" s="1058"/>
      <c r="T3" s="1058"/>
      <c r="U3" s="1058"/>
      <c r="V3" s="1058"/>
      <c r="W3" s="1058"/>
      <c r="X3" s="1058"/>
      <c r="Y3" s="1058"/>
      <c r="Z3" s="1058"/>
      <c r="AA3" s="1058"/>
      <c r="AB3" s="1058"/>
      <c r="AC3" s="1059"/>
    </row>
    <row r="4" spans="1:29">
      <c r="C4" s="1060" t="s">
        <v>1110</v>
      </c>
      <c r="D4" s="1061"/>
      <c r="E4" s="1061"/>
      <c r="F4" s="1061"/>
      <c r="G4" s="1061"/>
      <c r="H4" s="1061"/>
      <c r="I4" s="1061"/>
      <c r="J4" s="1061"/>
      <c r="K4" s="1061"/>
      <c r="L4" s="1061"/>
      <c r="M4" s="1061"/>
      <c r="N4" s="1061"/>
      <c r="O4" s="1061"/>
      <c r="P4" s="1061"/>
      <c r="AC4" s="1062"/>
    </row>
    <row r="5" spans="1:29">
      <c r="A5" s="880" t="s">
        <v>338</v>
      </c>
      <c r="C5" s="1063" t="s">
        <v>1111</v>
      </c>
      <c r="D5" s="1056" t="s">
        <v>278</v>
      </c>
      <c r="E5" s="1056" t="s">
        <v>279</v>
      </c>
      <c r="F5" s="1056" t="s">
        <v>280</v>
      </c>
      <c r="G5" s="1056" t="s">
        <v>281</v>
      </c>
      <c r="H5" s="1056" t="s">
        <v>132</v>
      </c>
      <c r="I5" s="1056" t="s">
        <v>282</v>
      </c>
      <c r="J5" s="1056" t="s">
        <v>283</v>
      </c>
      <c r="K5" s="1056" t="s">
        <v>284</v>
      </c>
      <c r="L5" s="1056" t="s">
        <v>285</v>
      </c>
      <c r="M5" s="1056" t="s">
        <v>286</v>
      </c>
      <c r="N5" s="1056" t="s">
        <v>287</v>
      </c>
      <c r="O5" s="1056" t="s">
        <v>288</v>
      </c>
      <c r="P5" s="1056" t="s">
        <v>1112</v>
      </c>
      <c r="R5" t="s">
        <v>278</v>
      </c>
      <c r="S5" t="s">
        <v>279</v>
      </c>
      <c r="T5" t="s">
        <v>280</v>
      </c>
      <c r="U5" t="s">
        <v>281</v>
      </c>
      <c r="V5" t="s">
        <v>132</v>
      </c>
      <c r="W5" t="s">
        <v>282</v>
      </c>
      <c r="X5" t="s">
        <v>283</v>
      </c>
      <c r="Y5" t="s">
        <v>284</v>
      </c>
      <c r="Z5" t="s">
        <v>1113</v>
      </c>
      <c r="AA5" t="s">
        <v>286</v>
      </c>
      <c r="AB5" t="s">
        <v>287</v>
      </c>
      <c r="AC5" s="1062" t="s">
        <v>288</v>
      </c>
    </row>
    <row r="6" spans="1:29">
      <c r="A6" t="s">
        <v>1114</v>
      </c>
      <c r="C6" s="1016" t="s">
        <v>1115</v>
      </c>
      <c r="D6" s="1041">
        <v>424</v>
      </c>
      <c r="E6" s="1041"/>
      <c r="F6" s="1041">
        <v>586</v>
      </c>
      <c r="G6" s="1041"/>
      <c r="H6" s="1041">
        <v>500</v>
      </c>
      <c r="I6" s="1041"/>
      <c r="J6" s="1041"/>
      <c r="K6" s="1041">
        <v>1062</v>
      </c>
      <c r="L6" s="1041"/>
      <c r="M6" s="1041"/>
      <c r="N6" s="1041">
        <v>1336</v>
      </c>
      <c r="O6" s="1041"/>
      <c r="P6" s="1041">
        <f>SUM(D6:O6)</f>
        <v>3908</v>
      </c>
      <c r="R6" s="1064">
        <f>SUM(D6:D9)</f>
        <v>14101</v>
      </c>
      <c r="S6" s="1064">
        <f>SUM(E6:E9)</f>
        <v>12458</v>
      </c>
      <c r="T6" s="1064">
        <f t="shared" ref="T6:AC6" si="0">SUM(F6:F9)</f>
        <v>1090</v>
      </c>
      <c r="U6" s="1064">
        <f t="shared" si="0"/>
        <v>17265.5</v>
      </c>
      <c r="V6" s="1064">
        <f t="shared" si="0"/>
        <v>8272</v>
      </c>
      <c r="W6" s="1064">
        <f t="shared" si="0"/>
        <v>7910</v>
      </c>
      <c r="X6" s="1064">
        <f t="shared" si="0"/>
        <v>16729</v>
      </c>
      <c r="Y6" s="1064">
        <f t="shared" si="0"/>
        <v>5362</v>
      </c>
      <c r="Z6" s="1064">
        <f t="shared" si="0"/>
        <v>7621.5</v>
      </c>
      <c r="AA6" s="1064">
        <f t="shared" si="0"/>
        <v>16905</v>
      </c>
      <c r="AB6" s="1064">
        <f t="shared" si="0"/>
        <v>23669</v>
      </c>
      <c r="AC6" s="1065">
        <f t="shared" si="0"/>
        <v>28211</v>
      </c>
    </row>
    <row r="7" spans="1:29">
      <c r="C7" s="1016" t="s">
        <v>1116</v>
      </c>
      <c r="D7" s="1041"/>
      <c r="E7" s="1041">
        <v>6876</v>
      </c>
      <c r="F7" s="1041"/>
      <c r="G7" s="1041">
        <v>2848.5</v>
      </c>
      <c r="H7" s="1041"/>
      <c r="I7" s="1041"/>
      <c r="J7" s="1041">
        <v>8592</v>
      </c>
      <c r="K7" s="1041"/>
      <c r="L7" s="1041">
        <v>3208.5</v>
      </c>
      <c r="M7" s="1041">
        <v>8598</v>
      </c>
      <c r="N7" s="1041">
        <v>6738</v>
      </c>
      <c r="O7" s="1041">
        <v>16248</v>
      </c>
      <c r="P7" s="1041">
        <f t="shared" ref="P7:P10" si="1">SUM(D7:O7)</f>
        <v>53109</v>
      </c>
      <c r="R7" s="1064"/>
      <c r="S7" s="1064"/>
      <c r="T7" s="1064"/>
      <c r="U7" s="1064"/>
      <c r="V7" s="1064"/>
      <c r="W7" s="1064"/>
      <c r="X7" s="1064"/>
      <c r="Y7" s="1064"/>
      <c r="Z7" s="1064"/>
      <c r="AA7" s="1064"/>
      <c r="AB7" s="1064"/>
      <c r="AC7" s="1065"/>
    </row>
    <row r="8" spans="1:29">
      <c r="C8" s="1016" t="s">
        <v>1117</v>
      </c>
      <c r="D8" s="1041">
        <v>13677</v>
      </c>
      <c r="E8" s="1041">
        <v>5582</v>
      </c>
      <c r="F8" s="1041">
        <v>504</v>
      </c>
      <c r="G8" s="1041">
        <v>14417</v>
      </c>
      <c r="H8" s="1041">
        <v>7772</v>
      </c>
      <c r="I8" s="1041">
        <v>7910</v>
      </c>
      <c r="J8" s="1041">
        <v>8137</v>
      </c>
      <c r="K8" s="1041">
        <v>4020</v>
      </c>
      <c r="L8" s="1041">
        <v>4413</v>
      </c>
      <c r="M8" s="1041">
        <v>8027</v>
      </c>
      <c r="N8" s="1041">
        <v>9615</v>
      </c>
      <c r="O8" s="1041">
        <v>11963</v>
      </c>
      <c r="P8" s="1041">
        <f t="shared" si="1"/>
        <v>96037</v>
      </c>
      <c r="R8" s="1064">
        <f>D10</f>
        <v>105106.98999999999</v>
      </c>
      <c r="S8" s="1064">
        <f t="shared" ref="S8:AC8" si="2">E10</f>
        <v>171483.99800000002</v>
      </c>
      <c r="T8" s="1064">
        <f t="shared" si="2"/>
        <v>179533.82199999999</v>
      </c>
      <c r="U8" s="1064">
        <f t="shared" si="2"/>
        <v>137685.83000000002</v>
      </c>
      <c r="V8" s="1064">
        <f t="shared" si="2"/>
        <v>204615</v>
      </c>
      <c r="W8" s="1064">
        <f t="shared" si="2"/>
        <v>188381</v>
      </c>
      <c r="X8" s="1064">
        <f t="shared" si="2"/>
        <v>177389.65899999999</v>
      </c>
      <c r="Y8" s="1064">
        <f t="shared" si="2"/>
        <v>148526.158</v>
      </c>
      <c r="Z8" s="1064">
        <f t="shared" si="2"/>
        <v>113242.33100000001</v>
      </c>
      <c r="AA8" s="1064">
        <f t="shared" si="2"/>
        <v>141595.158</v>
      </c>
      <c r="AB8" s="1064">
        <f t="shared" si="2"/>
        <v>130345.66499999999</v>
      </c>
      <c r="AC8" s="1065">
        <f t="shared" si="2"/>
        <v>152464</v>
      </c>
    </row>
    <row r="9" spans="1:29">
      <c r="C9" s="1016" t="s">
        <v>1118</v>
      </c>
      <c r="D9" s="1041"/>
      <c r="E9" s="1041"/>
      <c r="F9" s="1041"/>
      <c r="G9" s="1041"/>
      <c r="H9" s="1041"/>
      <c r="I9" s="1041"/>
      <c r="J9" s="1041"/>
      <c r="K9" s="1041">
        <v>280</v>
      </c>
      <c r="L9" s="1041"/>
      <c r="M9" s="1041">
        <v>280</v>
      </c>
      <c r="N9" s="1041">
        <v>5980</v>
      </c>
      <c r="O9" s="1041"/>
      <c r="P9" s="1041">
        <f t="shared" si="1"/>
        <v>6540</v>
      </c>
      <c r="AC9" s="1062"/>
    </row>
    <row r="10" spans="1:29">
      <c r="C10" s="1016" t="s">
        <v>1119</v>
      </c>
      <c r="D10" s="1041">
        <v>105106.98999999999</v>
      </c>
      <c r="E10" s="1041">
        <v>171483.99800000002</v>
      </c>
      <c r="F10" s="1041">
        <v>179533.82199999999</v>
      </c>
      <c r="G10" s="1041">
        <v>137685.83000000002</v>
      </c>
      <c r="H10" s="1041">
        <v>204615</v>
      </c>
      <c r="I10" s="1041">
        <v>188381</v>
      </c>
      <c r="J10" s="1041">
        <v>177389.65899999999</v>
      </c>
      <c r="K10" s="1041">
        <v>148526.158</v>
      </c>
      <c r="L10" s="1041">
        <v>113242.33100000001</v>
      </c>
      <c r="M10" s="1041">
        <v>141595.158</v>
      </c>
      <c r="N10" s="1041">
        <v>130345.66499999999</v>
      </c>
      <c r="O10" s="1041">
        <v>152464</v>
      </c>
      <c r="P10" s="1041">
        <f t="shared" si="1"/>
        <v>1850369.6110000003</v>
      </c>
      <c r="AC10" s="1062"/>
    </row>
    <row r="11" spans="1:29">
      <c r="C11" s="1016" t="s">
        <v>1112</v>
      </c>
      <c r="D11" s="1041">
        <f>SUM(D6:D10)</f>
        <v>119207.98999999999</v>
      </c>
      <c r="E11" s="1041">
        <f t="shared" ref="E11:I11" si="3">SUM(E6:E10)</f>
        <v>183941.99800000002</v>
      </c>
      <c r="F11" s="1041">
        <f t="shared" si="3"/>
        <v>180623.82199999999</v>
      </c>
      <c r="G11" s="1041">
        <f t="shared" si="3"/>
        <v>154951.33000000002</v>
      </c>
      <c r="H11" s="1041">
        <f t="shared" si="3"/>
        <v>212887</v>
      </c>
      <c r="I11" s="1041">
        <f t="shared" si="3"/>
        <v>196291</v>
      </c>
      <c r="J11" s="1041">
        <f t="shared" ref="J11" si="4">SUM(J6:J10)</f>
        <v>194118.65899999999</v>
      </c>
      <c r="K11" s="1041">
        <f t="shared" ref="K11" si="5">SUM(K6:K10)</f>
        <v>153888.158</v>
      </c>
      <c r="L11" s="1041">
        <f t="shared" ref="L11" si="6">SUM(L6:L10)</f>
        <v>120863.83100000001</v>
      </c>
      <c r="M11" s="1041">
        <f t="shared" ref="M11:O11" si="7">SUM(M6:M10)</f>
        <v>158500.158</v>
      </c>
      <c r="N11" s="1041">
        <f t="shared" si="7"/>
        <v>154014.66499999998</v>
      </c>
      <c r="O11" s="1041">
        <f t="shared" si="7"/>
        <v>180675</v>
      </c>
      <c r="P11" s="1041">
        <f>SUM(P6:P10)</f>
        <v>2009963.6110000003</v>
      </c>
      <c r="AC11" s="1062"/>
    </row>
    <row r="12" spans="1:29">
      <c r="C12" s="1066"/>
      <c r="AC12" s="1062"/>
    </row>
    <row r="13" spans="1:29">
      <c r="C13" s="1060" t="s">
        <v>1120</v>
      </c>
      <c r="AC13" s="1062"/>
    </row>
    <row r="14" spans="1:29">
      <c r="C14" s="1060" t="s">
        <v>1121</v>
      </c>
      <c r="D14" s="1061"/>
      <c r="E14" s="1061"/>
      <c r="F14" s="1061"/>
      <c r="G14" s="1061"/>
      <c r="H14" s="1061"/>
      <c r="I14" s="1061"/>
      <c r="J14" s="1061"/>
      <c r="K14" s="1061"/>
      <c r="L14" s="1061"/>
      <c r="M14" s="1061"/>
      <c r="N14" s="1061"/>
      <c r="O14" s="1061"/>
      <c r="P14" s="1061"/>
      <c r="AC14" s="1062"/>
    </row>
    <row r="15" spans="1:29">
      <c r="C15" s="1063" t="s">
        <v>1111</v>
      </c>
      <c r="D15" s="1056" t="s">
        <v>278</v>
      </c>
      <c r="E15" s="1056" t="s">
        <v>279</v>
      </c>
      <c r="F15" s="1056" t="s">
        <v>280</v>
      </c>
      <c r="G15" s="1056" t="s">
        <v>281</v>
      </c>
      <c r="H15" s="1056" t="s">
        <v>132</v>
      </c>
      <c r="I15" s="1056" t="s">
        <v>282</v>
      </c>
      <c r="J15" s="1056" t="s">
        <v>283</v>
      </c>
      <c r="K15" s="1056" t="s">
        <v>284</v>
      </c>
      <c r="L15" s="1056" t="s">
        <v>285</v>
      </c>
      <c r="M15" s="1056" t="s">
        <v>286</v>
      </c>
      <c r="N15" s="1056" t="s">
        <v>287</v>
      </c>
      <c r="O15" s="1056" t="s">
        <v>288</v>
      </c>
      <c r="P15" s="1056" t="s">
        <v>1112</v>
      </c>
      <c r="AC15" s="1062"/>
    </row>
    <row r="16" spans="1:29">
      <c r="C16" s="1016" t="s">
        <v>1115</v>
      </c>
      <c r="D16" s="1041">
        <v>87.694000000000003</v>
      </c>
      <c r="E16" s="1041"/>
      <c r="F16" s="1041">
        <v>131.517</v>
      </c>
      <c r="G16" s="1041"/>
      <c r="H16" s="1041">
        <v>0.218</v>
      </c>
      <c r="I16" s="1041"/>
      <c r="J16" s="1041"/>
      <c r="K16" s="1041">
        <v>44.216999999999999</v>
      </c>
      <c r="L16" s="1041"/>
      <c r="M16" s="1041"/>
      <c r="N16" s="1041">
        <v>131.88000000000002</v>
      </c>
      <c r="O16" s="1041"/>
      <c r="P16" s="1041">
        <f>SUM(D16:O16)</f>
        <v>395.52600000000007</v>
      </c>
      <c r="R16" s="1064">
        <f>SUM(D16:D19)</f>
        <v>13590.302</v>
      </c>
      <c r="S16" s="1064">
        <f t="shared" ref="S16:AC16" si="8">SUM(E16:E19)</f>
        <v>8878.1149999999998</v>
      </c>
      <c r="T16" s="1064">
        <f t="shared" si="8"/>
        <v>304.221</v>
      </c>
      <c r="U16" s="1064">
        <f t="shared" si="8"/>
        <v>19530.696</v>
      </c>
      <c r="V16" s="1064">
        <f t="shared" si="8"/>
        <v>11982.346000000001</v>
      </c>
      <c r="W16" s="1064">
        <f t="shared" si="8"/>
        <v>13420.656000000001</v>
      </c>
      <c r="X16" s="1064">
        <f t="shared" si="8"/>
        <v>9857.3260000000009</v>
      </c>
      <c r="Y16" s="1064">
        <f t="shared" si="8"/>
        <v>3975.7429999999999</v>
      </c>
      <c r="Z16" s="1064">
        <f t="shared" si="8"/>
        <v>14772.024000000001</v>
      </c>
      <c r="AA16" s="1064">
        <f t="shared" si="8"/>
        <v>10191.935000000001</v>
      </c>
      <c r="AB16" s="1064">
        <f t="shared" si="8"/>
        <v>22667.167999999998</v>
      </c>
      <c r="AC16" s="1065">
        <f t="shared" si="8"/>
        <v>23875</v>
      </c>
    </row>
    <row r="17" spans="3:29">
      <c r="C17" s="1016" t="s">
        <v>1116</v>
      </c>
      <c r="D17" s="1041"/>
      <c r="E17" s="1041">
        <v>4192.1469999999999</v>
      </c>
      <c r="F17" s="1041"/>
      <c r="G17" s="1041">
        <v>8357.5360000000001</v>
      </c>
      <c r="H17" s="1041"/>
      <c r="I17" s="1041"/>
      <c r="J17" s="1041">
        <v>2213.29</v>
      </c>
      <c r="K17" s="1041"/>
      <c r="L17" s="1041">
        <v>9171.2560000000012</v>
      </c>
      <c r="M17" s="1041">
        <v>2475.7170000000001</v>
      </c>
      <c r="N17" s="1041">
        <v>2650.0709999999999</v>
      </c>
      <c r="O17" s="1041">
        <v>5563</v>
      </c>
      <c r="P17" s="1041">
        <f t="shared" ref="P17:P20" si="9">SUM(D17:O17)</f>
        <v>34623.017000000007</v>
      </c>
      <c r="R17" s="502">
        <f>R16/1000</f>
        <v>13.590301999999999</v>
      </c>
      <c r="S17" s="502">
        <f t="shared" ref="S17:AC17" si="10">S16/1000</f>
        <v>8.8781149999999993</v>
      </c>
      <c r="T17" s="502">
        <f t="shared" si="10"/>
        <v>0.30422100000000002</v>
      </c>
      <c r="U17" s="502">
        <f t="shared" si="10"/>
        <v>19.530695999999999</v>
      </c>
      <c r="V17" s="502">
        <f t="shared" si="10"/>
        <v>11.982346000000001</v>
      </c>
      <c r="W17" s="502">
        <f t="shared" si="10"/>
        <v>13.420656000000001</v>
      </c>
      <c r="X17" s="502">
        <f t="shared" si="10"/>
        <v>9.8573260000000005</v>
      </c>
      <c r="Y17" s="502">
        <f t="shared" si="10"/>
        <v>3.975743</v>
      </c>
      <c r="Z17" s="502">
        <f t="shared" si="10"/>
        <v>14.772024000000002</v>
      </c>
      <c r="AA17" s="502">
        <f t="shared" si="10"/>
        <v>10.191935000000001</v>
      </c>
      <c r="AB17" s="502">
        <f t="shared" si="10"/>
        <v>22.667167999999997</v>
      </c>
      <c r="AC17" s="1071">
        <f t="shared" si="10"/>
        <v>23.875</v>
      </c>
    </row>
    <row r="18" spans="3:29">
      <c r="C18" s="1016" t="s">
        <v>1117</v>
      </c>
      <c r="D18" s="1041">
        <v>13502.608</v>
      </c>
      <c r="E18" s="1041">
        <v>4685.9679999999998</v>
      </c>
      <c r="F18" s="1041">
        <v>172.70400000000001</v>
      </c>
      <c r="G18" s="1041">
        <v>11173.16</v>
      </c>
      <c r="H18" s="1041">
        <v>11982.128000000001</v>
      </c>
      <c r="I18" s="1041">
        <v>13420.656000000001</v>
      </c>
      <c r="J18" s="1041">
        <v>7644.0360000000001</v>
      </c>
      <c r="K18" s="1041">
        <v>3931.424</v>
      </c>
      <c r="L18" s="1041">
        <v>5600.768</v>
      </c>
      <c r="M18" s="1041">
        <v>7716.116</v>
      </c>
      <c r="N18" s="1041">
        <v>14215.691999999999</v>
      </c>
      <c r="O18" s="1041">
        <v>18312</v>
      </c>
      <c r="P18" s="1041">
        <f t="shared" si="9"/>
        <v>112357.26</v>
      </c>
      <c r="AC18" s="1062"/>
    </row>
    <row r="19" spans="3:29">
      <c r="C19" s="1016" t="s">
        <v>1118</v>
      </c>
      <c r="D19" s="1041"/>
      <c r="E19" s="1041"/>
      <c r="F19" s="1041"/>
      <c r="G19" s="1041"/>
      <c r="H19" s="1041"/>
      <c r="I19" s="1041"/>
      <c r="J19" s="1041"/>
      <c r="K19" s="1041">
        <v>0.10199999999999999</v>
      </c>
      <c r="L19" s="1041"/>
      <c r="M19" s="1041">
        <v>0.10199999999999999</v>
      </c>
      <c r="N19" s="1041">
        <v>5669.5249999999996</v>
      </c>
      <c r="O19" s="1041"/>
      <c r="P19" s="1041">
        <f t="shared" si="9"/>
        <v>5669.7289999999994</v>
      </c>
      <c r="R19" s="1064">
        <f>D20</f>
        <v>138958.72199999998</v>
      </c>
      <c r="S19" s="1064">
        <f t="shared" ref="S19:AC19" si="11">E20</f>
        <v>196011.20699999999</v>
      </c>
      <c r="T19" s="1064">
        <f t="shared" si="11"/>
        <v>235111.79799999995</v>
      </c>
      <c r="U19" s="1064">
        <f t="shared" si="11"/>
        <v>146078.21599999999</v>
      </c>
      <c r="V19" s="1064">
        <f t="shared" si="11"/>
        <v>257958.96799999996</v>
      </c>
      <c r="W19" s="1064">
        <f t="shared" si="11"/>
        <v>237621.628</v>
      </c>
      <c r="X19" s="1064">
        <f t="shared" si="11"/>
        <v>256489.21699999992</v>
      </c>
      <c r="Y19" s="1064">
        <f t="shared" si="11"/>
        <v>228521.03399999999</v>
      </c>
      <c r="Z19" s="1064">
        <f t="shared" si="11"/>
        <v>176115.41499999995</v>
      </c>
      <c r="AA19" s="1064">
        <f t="shared" si="11"/>
        <v>215282.00300000003</v>
      </c>
      <c r="AB19" s="1064">
        <f t="shared" si="11"/>
        <v>157971.48200000002</v>
      </c>
      <c r="AC19" s="1065">
        <f t="shared" si="11"/>
        <v>211393</v>
      </c>
    </row>
    <row r="20" spans="3:29">
      <c r="C20" s="1016" t="s">
        <v>1119</v>
      </c>
      <c r="D20" s="1041">
        <v>138958.72199999998</v>
      </c>
      <c r="E20" s="1041">
        <v>196011.20699999999</v>
      </c>
      <c r="F20" s="1041">
        <v>235111.79799999995</v>
      </c>
      <c r="G20" s="1041">
        <v>146078.21599999999</v>
      </c>
      <c r="H20" s="1041">
        <v>257958.96799999996</v>
      </c>
      <c r="I20" s="1041">
        <v>237621.628</v>
      </c>
      <c r="J20" s="1041">
        <v>256489.21699999992</v>
      </c>
      <c r="K20" s="1041">
        <v>228521.03399999999</v>
      </c>
      <c r="L20" s="1041">
        <v>176115.41499999995</v>
      </c>
      <c r="M20" s="1041">
        <v>215282.00300000003</v>
      </c>
      <c r="N20" s="1041">
        <v>157971.48200000002</v>
      </c>
      <c r="O20" s="1041">
        <v>211393</v>
      </c>
      <c r="P20" s="1041">
        <f t="shared" si="9"/>
        <v>2457512.69</v>
      </c>
      <c r="R20" s="502">
        <f>R19/1000</f>
        <v>138.95872199999997</v>
      </c>
      <c r="S20" s="502">
        <f t="shared" ref="S20:AC20" si="12">S19/1000</f>
        <v>196.01120699999998</v>
      </c>
      <c r="T20" s="502">
        <f t="shared" si="12"/>
        <v>235.11179799999996</v>
      </c>
      <c r="U20" s="502">
        <f t="shared" si="12"/>
        <v>146.078216</v>
      </c>
      <c r="V20" s="502">
        <f t="shared" si="12"/>
        <v>257.95896799999997</v>
      </c>
      <c r="W20" s="502">
        <f t="shared" si="12"/>
        <v>237.62162799999999</v>
      </c>
      <c r="X20" s="502">
        <f t="shared" si="12"/>
        <v>256.48921699999994</v>
      </c>
      <c r="Y20" s="502">
        <f t="shared" si="12"/>
        <v>228.52103399999999</v>
      </c>
      <c r="Z20" s="502">
        <f t="shared" si="12"/>
        <v>176.11541499999996</v>
      </c>
      <c r="AA20" s="502">
        <f t="shared" si="12"/>
        <v>215.28200300000003</v>
      </c>
      <c r="AB20" s="502">
        <f t="shared" si="12"/>
        <v>157.97148200000001</v>
      </c>
      <c r="AC20" s="1071">
        <f t="shared" si="12"/>
        <v>211.393</v>
      </c>
    </row>
    <row r="21" spans="3:29">
      <c r="C21" s="1016" t="s">
        <v>1112</v>
      </c>
      <c r="D21" s="1041">
        <f>SUM(D16:D20)</f>
        <v>152549.02399999998</v>
      </c>
      <c r="E21" s="1041">
        <f t="shared" ref="E21:P21" si="13">SUM(E16:E20)</f>
        <v>204889.32199999999</v>
      </c>
      <c r="F21" s="1041">
        <f t="shared" si="13"/>
        <v>235416.01899999994</v>
      </c>
      <c r="G21" s="1041">
        <f t="shared" si="13"/>
        <v>165608.91199999998</v>
      </c>
      <c r="H21" s="1041">
        <f t="shared" si="13"/>
        <v>269941.31399999995</v>
      </c>
      <c r="I21" s="1041">
        <f t="shared" si="13"/>
        <v>251042.28399999999</v>
      </c>
      <c r="J21" s="1041">
        <f t="shared" si="13"/>
        <v>266346.54299999995</v>
      </c>
      <c r="K21" s="1041">
        <f t="shared" si="13"/>
        <v>232496.77699999997</v>
      </c>
      <c r="L21" s="1041">
        <f t="shared" si="13"/>
        <v>190887.43899999995</v>
      </c>
      <c r="M21" s="1041">
        <f t="shared" si="13"/>
        <v>225473.93800000002</v>
      </c>
      <c r="N21" s="1041">
        <f t="shared" si="13"/>
        <v>180638.65000000002</v>
      </c>
      <c r="O21" s="1041">
        <f t="shared" si="13"/>
        <v>235268</v>
      </c>
      <c r="P21" s="1041">
        <f t="shared" si="13"/>
        <v>2610558.2220000001</v>
      </c>
      <c r="AC21" s="1062"/>
    </row>
    <row r="22" spans="3:29">
      <c r="C22" s="1066"/>
      <c r="AC22" s="1062"/>
    </row>
    <row r="23" spans="3:29">
      <c r="C23" s="1066"/>
      <c r="AC23" s="1062"/>
    </row>
    <row r="24" spans="3:29" ht="15.75" thickBot="1">
      <c r="C24" s="1067"/>
      <c r="D24" s="1068">
        <f>D21/D11</f>
        <v>1.2796879135366681</v>
      </c>
      <c r="E24" s="1068">
        <f t="shared" ref="E24:O24" si="14">E21/E11</f>
        <v>1.1138800503841431</v>
      </c>
      <c r="F24" s="1068">
        <f t="shared" si="14"/>
        <v>1.3033497818466047</v>
      </c>
      <c r="G24" s="1068">
        <f t="shared" si="14"/>
        <v>1.0687801905282128</v>
      </c>
      <c r="H24" s="1068">
        <f t="shared" si="14"/>
        <v>1.2680028090019586</v>
      </c>
      <c r="I24" s="1068">
        <f t="shared" si="14"/>
        <v>1.2789291612962386</v>
      </c>
      <c r="J24" s="1068">
        <f t="shared" si="14"/>
        <v>1.3720810991178338</v>
      </c>
      <c r="K24" s="1068">
        <f t="shared" si="14"/>
        <v>1.5108165567879497</v>
      </c>
      <c r="L24" s="1068">
        <f t="shared" si="14"/>
        <v>1.57935949423943</v>
      </c>
      <c r="M24" s="1068">
        <f t="shared" si="14"/>
        <v>1.4225470866723049</v>
      </c>
      <c r="N24" s="1068">
        <f t="shared" si="14"/>
        <v>1.1728665578696682</v>
      </c>
      <c r="O24" s="1068">
        <f t="shared" si="14"/>
        <v>1.3021613394216134</v>
      </c>
      <c r="P24" s="1069"/>
      <c r="Q24" s="1069"/>
      <c r="R24" s="1069"/>
      <c r="S24" s="1069"/>
      <c r="T24" s="1069"/>
      <c r="U24" s="1069"/>
      <c r="V24" s="1069"/>
      <c r="W24" s="1069"/>
      <c r="X24" s="1069"/>
      <c r="Y24" s="1069"/>
      <c r="Z24" s="1069"/>
      <c r="AA24" s="1069"/>
      <c r="AB24" s="1069"/>
      <c r="AC24" s="1070"/>
    </row>
    <row r="26" spans="3:29" ht="15.75" thickBot="1"/>
    <row r="27" spans="3:29" ht="15.75" thickBot="1">
      <c r="C27" s="1072">
        <v>2024</v>
      </c>
    </row>
    <row r="28" spans="3:29">
      <c r="C28" s="1057" t="s">
        <v>1109</v>
      </c>
      <c r="D28" s="1058"/>
      <c r="E28" s="1058"/>
      <c r="F28" s="1058"/>
      <c r="G28" s="1058"/>
      <c r="H28" s="1058"/>
      <c r="I28" s="1058"/>
      <c r="J28" s="1058"/>
      <c r="K28" s="1058"/>
      <c r="L28" s="1058"/>
      <c r="M28" s="1058"/>
      <c r="N28" s="1058"/>
      <c r="O28" s="1058"/>
      <c r="P28" s="1058"/>
      <c r="Q28" s="1058"/>
      <c r="R28" s="1058"/>
      <c r="S28" s="1058"/>
      <c r="T28" s="1058"/>
      <c r="U28" s="1058"/>
      <c r="V28" s="1058"/>
      <c r="W28" s="1058"/>
      <c r="X28" s="1058"/>
      <c r="Y28" s="1058"/>
      <c r="Z28" s="1058"/>
      <c r="AA28" s="1058"/>
      <c r="AB28" s="1058"/>
      <c r="AC28" s="1059"/>
    </row>
    <row r="29" spans="3:29">
      <c r="C29" s="1060" t="s">
        <v>1110</v>
      </c>
      <c r="D29" s="1061"/>
      <c r="E29" s="1061"/>
      <c r="F29" s="1061"/>
      <c r="G29" s="1061"/>
      <c r="H29" s="1061"/>
      <c r="I29" s="1061"/>
      <c r="J29" s="1061"/>
      <c r="K29" s="1061"/>
      <c r="L29" s="1061"/>
      <c r="M29" s="1061"/>
      <c r="N29" s="1061"/>
      <c r="O29" s="1061"/>
      <c r="P29" s="1061"/>
      <c r="AC29" s="1062"/>
    </row>
    <row r="30" spans="3:29">
      <c r="C30" s="1063" t="s">
        <v>1111</v>
      </c>
      <c r="D30" s="1056" t="s">
        <v>278</v>
      </c>
      <c r="E30" s="1056" t="s">
        <v>279</v>
      </c>
      <c r="F30" s="1056" t="s">
        <v>280</v>
      </c>
      <c r="G30" s="1056" t="s">
        <v>281</v>
      </c>
      <c r="H30" s="1056" t="s">
        <v>132</v>
      </c>
      <c r="I30" s="1056" t="s">
        <v>282</v>
      </c>
      <c r="J30" s="1056" t="s">
        <v>283</v>
      </c>
      <c r="K30" s="1056" t="s">
        <v>284</v>
      </c>
      <c r="L30" s="1056" t="s">
        <v>285</v>
      </c>
      <c r="M30" s="1056" t="s">
        <v>286</v>
      </c>
      <c r="N30" s="1056" t="s">
        <v>287</v>
      </c>
      <c r="O30" s="1056" t="s">
        <v>288</v>
      </c>
      <c r="P30" s="1056" t="s">
        <v>1112</v>
      </c>
      <c r="R30" t="s">
        <v>278</v>
      </c>
      <c r="S30" t="s">
        <v>279</v>
      </c>
      <c r="T30" t="s">
        <v>280</v>
      </c>
      <c r="U30" t="s">
        <v>281</v>
      </c>
      <c r="V30" t="s">
        <v>132</v>
      </c>
      <c r="W30" t="s">
        <v>282</v>
      </c>
      <c r="X30" t="s">
        <v>283</v>
      </c>
      <c r="Y30" t="s">
        <v>284</v>
      </c>
      <c r="Z30" t="s">
        <v>1113</v>
      </c>
      <c r="AA30" t="s">
        <v>286</v>
      </c>
      <c r="AB30" t="s">
        <v>287</v>
      </c>
      <c r="AC30" s="1062" t="s">
        <v>288</v>
      </c>
    </row>
    <row r="31" spans="3:29">
      <c r="C31" s="1016" t="s">
        <v>1115</v>
      </c>
      <c r="D31" s="1041"/>
      <c r="E31" s="1041"/>
      <c r="F31" s="1041"/>
      <c r="G31" s="1041"/>
      <c r="H31" s="1041"/>
      <c r="I31" s="1041"/>
      <c r="J31" s="1041"/>
      <c r="K31" s="1041"/>
      <c r="L31" s="1041"/>
      <c r="M31" s="1041"/>
      <c r="N31" s="1041"/>
      <c r="O31" s="1041"/>
      <c r="P31" s="1041">
        <f>SUM(D31:O31)</f>
        <v>0</v>
      </c>
      <c r="R31" s="1064">
        <f>SUM(D31:D34)</f>
        <v>11056</v>
      </c>
      <c r="S31" s="1064">
        <f>SUM(E31:E34)</f>
        <v>0</v>
      </c>
      <c r="T31" s="1064">
        <f t="shared" ref="T31" si="15">SUM(F31:F34)</f>
        <v>0</v>
      </c>
      <c r="U31" s="1064">
        <f t="shared" ref="U31" si="16">SUM(G31:G34)</f>
        <v>0</v>
      </c>
      <c r="V31" s="1064">
        <f t="shared" ref="V31" si="17">SUM(H31:H34)</f>
        <v>0</v>
      </c>
      <c r="W31" s="1064">
        <f t="shared" ref="W31" si="18">SUM(I31:I34)</f>
        <v>0</v>
      </c>
      <c r="X31" s="1064">
        <f t="shared" ref="X31" si="19">SUM(J31:J34)</f>
        <v>0</v>
      </c>
      <c r="Y31" s="1064">
        <f t="shared" ref="Y31" si="20">SUM(K31:K34)</f>
        <v>0</v>
      </c>
      <c r="Z31" s="1064">
        <f t="shared" ref="Z31" si="21">SUM(L31:L34)</f>
        <v>0</v>
      </c>
      <c r="AA31" s="1064">
        <f t="shared" ref="AA31" si="22">SUM(M31:M34)</f>
        <v>0</v>
      </c>
      <c r="AB31" s="1064">
        <f t="shared" ref="AB31" si="23">SUM(N31:N34)</f>
        <v>0</v>
      </c>
      <c r="AC31" s="1065">
        <f t="shared" ref="AC31" si="24">SUM(O31:O34)</f>
        <v>0</v>
      </c>
    </row>
    <row r="32" spans="3:29">
      <c r="C32" s="1016" t="s">
        <v>1116</v>
      </c>
      <c r="D32" s="1041"/>
      <c r="E32" s="1041"/>
      <c r="F32" s="1041"/>
      <c r="G32" s="1041"/>
      <c r="H32" s="1041"/>
      <c r="I32" s="1041"/>
      <c r="J32" s="1041"/>
      <c r="K32" s="1041"/>
      <c r="L32" s="1041"/>
      <c r="M32" s="1041"/>
      <c r="N32" s="1041"/>
      <c r="O32" s="1041"/>
      <c r="P32" s="1041">
        <f t="shared" ref="P32:P35" si="25">SUM(D32:O32)</f>
        <v>0</v>
      </c>
      <c r="R32" s="1064"/>
      <c r="S32" s="1064"/>
      <c r="T32" s="1064"/>
      <c r="U32" s="1064"/>
      <c r="V32" s="1064"/>
      <c r="W32" s="1064"/>
      <c r="X32" s="1064"/>
      <c r="Y32" s="1064"/>
      <c r="Z32" s="1064"/>
      <c r="AA32" s="1064"/>
      <c r="AB32" s="1064"/>
      <c r="AC32" s="1065"/>
    </row>
    <row r="33" spans="3:29">
      <c r="C33" s="1016" t="s">
        <v>1117</v>
      </c>
      <c r="D33" s="1041">
        <v>7296</v>
      </c>
      <c r="E33" s="1041"/>
      <c r="F33" s="1041"/>
      <c r="G33" s="1041"/>
      <c r="H33" s="1041"/>
      <c r="I33" s="1041"/>
      <c r="J33" s="1041"/>
      <c r="K33" s="1041"/>
      <c r="L33" s="1041"/>
      <c r="M33" s="1041"/>
      <c r="N33" s="1041"/>
      <c r="O33" s="1041"/>
      <c r="P33" s="1041">
        <f t="shared" si="25"/>
        <v>7296</v>
      </c>
      <c r="R33" s="1064">
        <f>D35</f>
        <v>142809</v>
      </c>
      <c r="S33" s="1064">
        <f t="shared" ref="S33" si="26">E35</f>
        <v>0</v>
      </c>
      <c r="T33" s="1064">
        <f t="shared" ref="T33" si="27">F35</f>
        <v>0</v>
      </c>
      <c r="U33" s="1064">
        <f t="shared" ref="U33" si="28">G35</f>
        <v>0</v>
      </c>
      <c r="V33" s="1064">
        <f t="shared" ref="V33" si="29">H35</f>
        <v>0</v>
      </c>
      <c r="W33" s="1064">
        <f t="shared" ref="W33" si="30">I35</f>
        <v>0</v>
      </c>
      <c r="X33" s="1064">
        <f t="shared" ref="X33" si="31">J35</f>
        <v>0</v>
      </c>
      <c r="Y33" s="1064">
        <f t="shared" ref="Y33" si="32">K35</f>
        <v>0</v>
      </c>
      <c r="Z33" s="1064">
        <f t="shared" ref="Z33" si="33">L35</f>
        <v>0</v>
      </c>
      <c r="AA33" s="1064">
        <f t="shared" ref="AA33" si="34">M35</f>
        <v>0</v>
      </c>
      <c r="AB33" s="1064">
        <f t="shared" ref="AB33" si="35">N35</f>
        <v>0</v>
      </c>
      <c r="AC33" s="1065">
        <f t="shared" ref="AC33" si="36">O35</f>
        <v>0</v>
      </c>
    </row>
    <row r="34" spans="3:29">
      <c r="C34" s="1016" t="s">
        <v>1118</v>
      </c>
      <c r="D34" s="1041">
        <v>3760</v>
      </c>
      <c r="E34" s="1041"/>
      <c r="F34" s="1041"/>
      <c r="G34" s="1041"/>
      <c r="H34" s="1041"/>
      <c r="I34" s="1041"/>
      <c r="J34" s="1041"/>
      <c r="K34" s="1041"/>
      <c r="L34" s="1041"/>
      <c r="M34" s="1041"/>
      <c r="N34" s="1041"/>
      <c r="O34" s="1041"/>
      <c r="P34" s="1041">
        <f t="shared" si="25"/>
        <v>3760</v>
      </c>
      <c r="AC34" s="1062"/>
    </row>
    <row r="35" spans="3:29">
      <c r="C35" s="1016" t="s">
        <v>1119</v>
      </c>
      <c r="D35" s="1041">
        <v>142809</v>
      </c>
      <c r="E35" s="1041"/>
      <c r="F35" s="1041"/>
      <c r="G35" s="1041"/>
      <c r="H35" s="1041"/>
      <c r="I35" s="1041"/>
      <c r="J35" s="1041"/>
      <c r="K35" s="1041"/>
      <c r="L35" s="1041"/>
      <c r="M35" s="1041"/>
      <c r="N35" s="1041"/>
      <c r="O35" s="1041"/>
      <c r="P35" s="1041">
        <f t="shared" si="25"/>
        <v>142809</v>
      </c>
      <c r="AC35" s="1062"/>
    </row>
    <row r="36" spans="3:29">
      <c r="C36" s="1016" t="s">
        <v>1112</v>
      </c>
      <c r="D36" s="1041">
        <f>SUM(D31:D35)</f>
        <v>153865</v>
      </c>
      <c r="E36" s="1041">
        <f t="shared" ref="E36:O36" si="37">SUM(E31:E35)</f>
        <v>0</v>
      </c>
      <c r="F36" s="1041">
        <f t="shared" si="37"/>
        <v>0</v>
      </c>
      <c r="G36" s="1041">
        <f t="shared" si="37"/>
        <v>0</v>
      </c>
      <c r="H36" s="1041">
        <f t="shared" si="37"/>
        <v>0</v>
      </c>
      <c r="I36" s="1041">
        <f t="shared" si="37"/>
        <v>0</v>
      </c>
      <c r="J36" s="1041">
        <f t="shared" si="37"/>
        <v>0</v>
      </c>
      <c r="K36" s="1041">
        <f t="shared" si="37"/>
        <v>0</v>
      </c>
      <c r="L36" s="1041">
        <f t="shared" si="37"/>
        <v>0</v>
      </c>
      <c r="M36" s="1041">
        <f t="shared" si="37"/>
        <v>0</v>
      </c>
      <c r="N36" s="1041">
        <f t="shared" si="37"/>
        <v>0</v>
      </c>
      <c r="O36" s="1041">
        <f t="shared" si="37"/>
        <v>0</v>
      </c>
      <c r="P36" s="1041">
        <f>SUM(P31:P35)</f>
        <v>153865</v>
      </c>
      <c r="AC36" s="1062"/>
    </row>
    <row r="37" spans="3:29">
      <c r="C37" s="1066"/>
      <c r="AC37" s="1062"/>
    </row>
    <row r="38" spans="3:29">
      <c r="C38" s="1060" t="s">
        <v>1120</v>
      </c>
      <c r="AC38" s="1062"/>
    </row>
    <row r="39" spans="3:29">
      <c r="C39" s="1060" t="s">
        <v>1121</v>
      </c>
      <c r="D39" s="1061"/>
      <c r="E39" s="1061"/>
      <c r="F39" s="1061"/>
      <c r="G39" s="1061"/>
      <c r="H39" s="1061"/>
      <c r="I39" s="1061"/>
      <c r="J39" s="1061"/>
      <c r="K39" s="1061"/>
      <c r="L39" s="1061"/>
      <c r="M39" s="1061"/>
      <c r="N39" s="1061"/>
      <c r="O39" s="1061"/>
      <c r="P39" s="1061"/>
      <c r="AC39" s="1062"/>
    </row>
    <row r="40" spans="3:29">
      <c r="C40" s="1063" t="s">
        <v>1111</v>
      </c>
      <c r="D40" s="1056" t="s">
        <v>278</v>
      </c>
      <c r="E40" s="1056" t="s">
        <v>279</v>
      </c>
      <c r="F40" s="1056" t="s">
        <v>280</v>
      </c>
      <c r="G40" s="1056" t="s">
        <v>281</v>
      </c>
      <c r="H40" s="1056" t="s">
        <v>132</v>
      </c>
      <c r="I40" s="1056" t="s">
        <v>282</v>
      </c>
      <c r="J40" s="1056" t="s">
        <v>283</v>
      </c>
      <c r="K40" s="1056" t="s">
        <v>284</v>
      </c>
      <c r="L40" s="1056" t="s">
        <v>285</v>
      </c>
      <c r="M40" s="1056" t="s">
        <v>286</v>
      </c>
      <c r="N40" s="1056" t="s">
        <v>287</v>
      </c>
      <c r="O40" s="1056" t="s">
        <v>288</v>
      </c>
      <c r="P40" s="1056" t="s">
        <v>1112</v>
      </c>
      <c r="AC40" s="1062"/>
    </row>
    <row r="41" spans="3:29">
      <c r="C41" s="1016" t="s">
        <v>1115</v>
      </c>
      <c r="D41" s="1041"/>
      <c r="E41" s="1041"/>
      <c r="F41" s="1041"/>
      <c r="G41" s="1041"/>
      <c r="H41" s="1041"/>
      <c r="I41" s="1041"/>
      <c r="J41" s="1041"/>
      <c r="K41" s="1041"/>
      <c r="L41" s="1041"/>
      <c r="M41" s="1041"/>
      <c r="N41" s="1041"/>
      <c r="O41" s="1041"/>
      <c r="P41" s="1041">
        <f>SUM(D41:O41)</f>
        <v>0</v>
      </c>
      <c r="R41" s="1064">
        <f>SUM(D41:D44)</f>
        <v>10439</v>
      </c>
      <c r="S41" s="1064">
        <f t="shared" ref="S41" si="38">SUM(E41:E44)</f>
        <v>0</v>
      </c>
      <c r="T41" s="1064">
        <f t="shared" ref="T41" si="39">SUM(F41:F44)</f>
        <v>0</v>
      </c>
      <c r="U41" s="1064">
        <f t="shared" ref="U41" si="40">SUM(G41:G44)</f>
        <v>0</v>
      </c>
      <c r="V41" s="1064">
        <f t="shared" ref="V41" si="41">SUM(H41:H44)</f>
        <v>0</v>
      </c>
      <c r="W41" s="1064">
        <f t="shared" ref="W41" si="42">SUM(I41:I44)</f>
        <v>0</v>
      </c>
      <c r="X41" s="1064">
        <f t="shared" ref="X41" si="43">SUM(J41:J44)</f>
        <v>0</v>
      </c>
      <c r="Y41" s="1064">
        <f t="shared" ref="Y41" si="44">SUM(K41:K44)</f>
        <v>0</v>
      </c>
      <c r="Z41" s="1064">
        <f t="shared" ref="Z41" si="45">SUM(L41:L44)</f>
        <v>0</v>
      </c>
      <c r="AA41" s="1064">
        <f t="shared" ref="AA41" si="46">SUM(M41:M44)</f>
        <v>0</v>
      </c>
      <c r="AB41" s="1064">
        <f t="shared" ref="AB41" si="47">SUM(N41:N44)</f>
        <v>0</v>
      </c>
      <c r="AC41" s="1065">
        <f t="shared" ref="AC41" si="48">SUM(O41:O44)</f>
        <v>0</v>
      </c>
    </row>
    <row r="42" spans="3:29">
      <c r="C42" s="1016" t="s">
        <v>1116</v>
      </c>
      <c r="D42" s="1041"/>
      <c r="E42" s="1041"/>
      <c r="F42" s="1041"/>
      <c r="G42" s="1041"/>
      <c r="H42" s="1041"/>
      <c r="I42" s="1041"/>
      <c r="J42" s="1041"/>
      <c r="K42" s="1041"/>
      <c r="L42" s="1041"/>
      <c r="M42" s="1041"/>
      <c r="N42" s="1041"/>
      <c r="O42" s="1041"/>
      <c r="P42" s="1041">
        <f t="shared" ref="P42:P45" si="49">SUM(D42:O42)</f>
        <v>0</v>
      </c>
      <c r="R42" s="502">
        <f>R41/1000</f>
        <v>10.439</v>
      </c>
      <c r="S42" s="502">
        <f t="shared" ref="S42:AC42" si="50">S41/1000</f>
        <v>0</v>
      </c>
      <c r="T42" s="502">
        <f t="shared" si="50"/>
        <v>0</v>
      </c>
      <c r="U42" s="502">
        <f t="shared" si="50"/>
        <v>0</v>
      </c>
      <c r="V42" s="502">
        <f t="shared" si="50"/>
        <v>0</v>
      </c>
      <c r="W42" s="502">
        <f t="shared" si="50"/>
        <v>0</v>
      </c>
      <c r="X42" s="502">
        <f t="shared" si="50"/>
        <v>0</v>
      </c>
      <c r="Y42" s="502">
        <f t="shared" si="50"/>
        <v>0</v>
      </c>
      <c r="Z42" s="502">
        <f t="shared" si="50"/>
        <v>0</v>
      </c>
      <c r="AA42" s="502">
        <f t="shared" si="50"/>
        <v>0</v>
      </c>
      <c r="AB42" s="502">
        <f t="shared" si="50"/>
        <v>0</v>
      </c>
      <c r="AC42" s="1071">
        <f t="shared" si="50"/>
        <v>0</v>
      </c>
    </row>
    <row r="43" spans="3:29">
      <c r="C43" s="1016" t="s">
        <v>1117</v>
      </c>
      <c r="D43" s="1041">
        <v>6506</v>
      </c>
      <c r="E43" s="1041"/>
      <c r="F43" s="1041"/>
      <c r="G43" s="1041"/>
      <c r="H43" s="1041"/>
      <c r="I43" s="1041"/>
      <c r="J43" s="1041"/>
      <c r="K43" s="1041"/>
      <c r="L43" s="1041"/>
      <c r="M43" s="1041"/>
      <c r="N43" s="1041"/>
      <c r="O43" s="1041"/>
      <c r="P43" s="1041">
        <f t="shared" si="49"/>
        <v>6506</v>
      </c>
      <c r="AC43" s="1062"/>
    </row>
    <row r="44" spans="3:29">
      <c r="C44" s="1016" t="s">
        <v>1118</v>
      </c>
      <c r="D44" s="1041">
        <v>3933</v>
      </c>
      <c r="E44" s="1041"/>
      <c r="F44" s="1041"/>
      <c r="G44" s="1041"/>
      <c r="H44" s="1041"/>
      <c r="I44" s="1041"/>
      <c r="J44" s="1041"/>
      <c r="K44" s="1041"/>
      <c r="L44" s="1041"/>
      <c r="M44" s="1041"/>
      <c r="N44" s="1041"/>
      <c r="O44" s="1041"/>
      <c r="P44" s="1041">
        <f t="shared" si="49"/>
        <v>3933</v>
      </c>
      <c r="R44" s="1064">
        <f>D45</f>
        <v>185329</v>
      </c>
      <c r="S44" s="1064">
        <f t="shared" ref="S44" si="51">E45</f>
        <v>0</v>
      </c>
      <c r="T44" s="1064">
        <f t="shared" ref="T44" si="52">F45</f>
        <v>0</v>
      </c>
      <c r="U44" s="1064">
        <f t="shared" ref="U44" si="53">G45</f>
        <v>0</v>
      </c>
      <c r="V44" s="1064">
        <f t="shared" ref="V44" si="54">H45</f>
        <v>0</v>
      </c>
      <c r="W44" s="1064">
        <f t="shared" ref="W44" si="55">I45</f>
        <v>0</v>
      </c>
      <c r="X44" s="1064">
        <f t="shared" ref="X44" si="56">J45</f>
        <v>0</v>
      </c>
      <c r="Y44" s="1064">
        <f t="shared" ref="Y44" si="57">K45</f>
        <v>0</v>
      </c>
      <c r="Z44" s="1064">
        <f t="shared" ref="Z44" si="58">L45</f>
        <v>0</v>
      </c>
      <c r="AA44" s="1064">
        <f t="shared" ref="AA44" si="59">M45</f>
        <v>0</v>
      </c>
      <c r="AB44" s="1064">
        <f t="shared" ref="AB44" si="60">N45</f>
        <v>0</v>
      </c>
      <c r="AC44" s="1065">
        <f t="shared" ref="AC44" si="61">O45</f>
        <v>0</v>
      </c>
    </row>
    <row r="45" spans="3:29">
      <c r="C45" s="1016" t="s">
        <v>1119</v>
      </c>
      <c r="D45" s="1041">
        <v>185329</v>
      </c>
      <c r="E45" s="1041"/>
      <c r="F45" s="1041"/>
      <c r="G45" s="1041"/>
      <c r="H45" s="1041"/>
      <c r="I45" s="1041"/>
      <c r="J45" s="1041"/>
      <c r="K45" s="1041"/>
      <c r="L45" s="1041"/>
      <c r="M45" s="1041"/>
      <c r="N45" s="1041"/>
      <c r="O45" s="1041"/>
      <c r="P45" s="1041">
        <f t="shared" si="49"/>
        <v>185329</v>
      </c>
      <c r="R45" s="502">
        <f>R44/1000</f>
        <v>185.32900000000001</v>
      </c>
      <c r="S45" s="502">
        <f t="shared" ref="S45:AC45" si="62">S44/1000</f>
        <v>0</v>
      </c>
      <c r="T45" s="502">
        <f t="shared" si="62"/>
        <v>0</v>
      </c>
      <c r="U45" s="502">
        <f t="shared" si="62"/>
        <v>0</v>
      </c>
      <c r="V45" s="502">
        <f t="shared" si="62"/>
        <v>0</v>
      </c>
      <c r="W45" s="502">
        <f t="shared" si="62"/>
        <v>0</v>
      </c>
      <c r="X45" s="502">
        <f t="shared" si="62"/>
        <v>0</v>
      </c>
      <c r="Y45" s="502">
        <f t="shared" si="62"/>
        <v>0</v>
      </c>
      <c r="Z45" s="502">
        <f t="shared" si="62"/>
        <v>0</v>
      </c>
      <c r="AA45" s="502">
        <f t="shared" si="62"/>
        <v>0</v>
      </c>
      <c r="AB45" s="502">
        <f t="shared" si="62"/>
        <v>0</v>
      </c>
      <c r="AC45" s="1071">
        <f t="shared" si="62"/>
        <v>0</v>
      </c>
    </row>
    <row r="46" spans="3:29">
      <c r="C46" s="1016" t="s">
        <v>1112</v>
      </c>
      <c r="D46" s="1041">
        <f>SUM(D41:D45)</f>
        <v>195768</v>
      </c>
      <c r="E46" s="1041">
        <f t="shared" ref="E46:P46" si="63">SUM(E41:E45)</f>
        <v>0</v>
      </c>
      <c r="F46" s="1041">
        <f t="shared" si="63"/>
        <v>0</v>
      </c>
      <c r="G46" s="1041">
        <f t="shared" si="63"/>
        <v>0</v>
      </c>
      <c r="H46" s="1041">
        <f t="shared" si="63"/>
        <v>0</v>
      </c>
      <c r="I46" s="1041">
        <f t="shared" si="63"/>
        <v>0</v>
      </c>
      <c r="J46" s="1041">
        <f t="shared" si="63"/>
        <v>0</v>
      </c>
      <c r="K46" s="1041">
        <f t="shared" si="63"/>
        <v>0</v>
      </c>
      <c r="L46" s="1041">
        <f t="shared" si="63"/>
        <v>0</v>
      </c>
      <c r="M46" s="1041">
        <f t="shared" si="63"/>
        <v>0</v>
      </c>
      <c r="N46" s="1041">
        <f t="shared" si="63"/>
        <v>0</v>
      </c>
      <c r="O46" s="1041">
        <f t="shared" si="63"/>
        <v>0</v>
      </c>
      <c r="P46" s="1041">
        <f t="shared" si="63"/>
        <v>195768</v>
      </c>
      <c r="AC46" s="1062"/>
    </row>
    <row r="47" spans="3:29">
      <c r="C47" s="1066"/>
      <c r="AC47" s="1062"/>
    </row>
    <row r="48" spans="3:29">
      <c r="C48" s="1066"/>
      <c r="AC48" s="1062"/>
    </row>
    <row r="49" spans="3:29" ht="15.75" thickBot="1">
      <c r="C49" s="1067"/>
      <c r="D49" s="1068">
        <f>D46/D36</f>
        <v>1.2723361388229941</v>
      </c>
      <c r="E49" s="1068" t="e">
        <f t="shared" ref="E49:O49" si="64">E46/E36</f>
        <v>#DIV/0!</v>
      </c>
      <c r="F49" s="1068" t="e">
        <f t="shared" si="64"/>
        <v>#DIV/0!</v>
      </c>
      <c r="G49" s="1068" t="e">
        <f t="shared" si="64"/>
        <v>#DIV/0!</v>
      </c>
      <c r="H49" s="1068" t="e">
        <f t="shared" si="64"/>
        <v>#DIV/0!</v>
      </c>
      <c r="I49" s="1068" t="e">
        <f t="shared" si="64"/>
        <v>#DIV/0!</v>
      </c>
      <c r="J49" s="1068" t="e">
        <f t="shared" si="64"/>
        <v>#DIV/0!</v>
      </c>
      <c r="K49" s="1068" t="e">
        <f t="shared" si="64"/>
        <v>#DIV/0!</v>
      </c>
      <c r="L49" s="1068" t="e">
        <f t="shared" si="64"/>
        <v>#DIV/0!</v>
      </c>
      <c r="M49" s="1068" t="e">
        <f t="shared" si="64"/>
        <v>#DIV/0!</v>
      </c>
      <c r="N49" s="1068" t="e">
        <f t="shared" si="64"/>
        <v>#DIV/0!</v>
      </c>
      <c r="O49" s="1068" t="e">
        <f t="shared" si="64"/>
        <v>#DIV/0!</v>
      </c>
      <c r="P49" s="1069"/>
      <c r="Q49" s="1069"/>
      <c r="R49" s="1069"/>
      <c r="S49" s="1069"/>
      <c r="T49" s="1069"/>
      <c r="U49" s="1069"/>
      <c r="V49" s="1069"/>
      <c r="W49" s="1069"/>
      <c r="X49" s="1069"/>
      <c r="Y49" s="1069"/>
      <c r="Z49" s="1069"/>
      <c r="AA49" s="1069"/>
      <c r="AB49" s="1069"/>
      <c r="AC49" s="1070"/>
    </row>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60753-5AD0-4864-BBD7-637564D819DE}">
  <dimension ref="A1:AD87"/>
  <sheetViews>
    <sheetView workbookViewId="0">
      <pane xSplit="6" ySplit="3" topLeftCell="V25" activePane="bottomRight" state="frozen"/>
      <selection pane="topRight" activeCell="G1" sqref="G1"/>
      <selection pane="bottomLeft" activeCell="A4" sqref="A4"/>
      <selection pane="bottomRight" activeCell="AA37" sqref="AA37"/>
    </sheetView>
  </sheetViews>
  <sheetFormatPr defaultRowHeight="15"/>
  <cols>
    <col min="1" max="1" width="22" bestFit="1" customWidth="1"/>
    <col min="2" max="2" width="2.28515625" customWidth="1"/>
    <col min="3" max="3" width="14" style="508" bestFit="1" customWidth="1"/>
    <col min="4" max="4" width="39.28515625" style="508" bestFit="1" customWidth="1"/>
    <col min="5" max="5" width="19.7109375" bestFit="1" customWidth="1"/>
    <col min="6" max="6" width="47.5703125" hidden="1" customWidth="1"/>
    <col min="7" max="7" width="10.42578125" customWidth="1"/>
    <col min="8" max="8" width="9.5703125" customWidth="1"/>
    <col min="9" max="9" width="10.42578125" customWidth="1"/>
    <col min="10" max="10" width="9.7109375" style="1101" customWidth="1"/>
    <col min="11" max="11" width="10.42578125" customWidth="1"/>
    <col min="12" max="12" width="12.140625" customWidth="1"/>
    <col min="13" max="13" width="10.42578125" customWidth="1"/>
    <col min="14" max="14" width="12.140625" customWidth="1"/>
    <col min="15" max="15" width="11.28515625" customWidth="1"/>
    <col min="16" max="16" width="9.7109375" customWidth="1"/>
    <col min="17" max="17" width="11.5703125" customWidth="1"/>
    <col min="18" max="18" width="9.7109375" customWidth="1"/>
    <col min="19" max="19" width="10.42578125" customWidth="1"/>
    <col min="20" max="20" width="9.7109375" customWidth="1"/>
    <col min="21" max="21" width="11.5703125" customWidth="1"/>
    <col min="22" max="22" width="9.7109375" customWidth="1"/>
    <col min="23" max="23" width="11.5703125" customWidth="1"/>
    <col min="24" max="24" width="9.7109375" customWidth="1"/>
    <col min="25" max="25" width="10.42578125" customWidth="1"/>
    <col min="26" max="26" width="9.7109375" customWidth="1"/>
    <col min="27" max="27" width="11" bestFit="1" customWidth="1"/>
    <col min="28" max="28" width="9.7109375" bestFit="1" customWidth="1"/>
    <col min="29" max="29" width="11" bestFit="1" customWidth="1"/>
    <col min="30" max="30" width="9.7109375" bestFit="1" customWidth="1"/>
  </cols>
  <sheetData>
    <row r="1" spans="1:30" ht="18.75">
      <c r="B1" s="1694"/>
      <c r="C1" s="2057" t="s">
        <v>1122</v>
      </c>
      <c r="D1" s="2057"/>
      <c r="E1" s="2057"/>
      <c r="F1" s="1694"/>
      <c r="G1" s="1694"/>
      <c r="H1" s="1694"/>
      <c r="I1" s="1694"/>
    </row>
    <row r="2" spans="1:30" ht="15.75" thickBot="1">
      <c r="A2" s="1695" t="s">
        <v>1123</v>
      </c>
      <c r="C2" s="2148"/>
      <c r="D2" s="2148"/>
      <c r="E2" s="2148"/>
    </row>
    <row r="3" spans="1:30" ht="15.75">
      <c r="A3" s="880" t="s">
        <v>338</v>
      </c>
      <c r="C3" s="1179" t="s">
        <v>1124</v>
      </c>
      <c r="D3" s="1180" t="s">
        <v>1125</v>
      </c>
      <c r="E3" s="1180" t="s">
        <v>277</v>
      </c>
      <c r="F3" s="1058"/>
      <c r="G3" s="1103">
        <v>44948</v>
      </c>
      <c r="H3" s="1112" t="s">
        <v>1126</v>
      </c>
      <c r="I3" s="1103">
        <v>44973</v>
      </c>
      <c r="J3" s="1112" t="s">
        <v>1126</v>
      </c>
      <c r="K3" s="1103">
        <v>44994</v>
      </c>
      <c r="L3" s="1112" t="s">
        <v>1126</v>
      </c>
      <c r="M3" s="1103">
        <v>45028</v>
      </c>
      <c r="N3" s="1112" t="s">
        <v>1126</v>
      </c>
      <c r="O3" s="1103">
        <v>45057</v>
      </c>
      <c r="P3" s="1112" t="s">
        <v>1126</v>
      </c>
      <c r="Q3" s="1103">
        <v>45090</v>
      </c>
      <c r="R3" s="1112" t="s">
        <v>1126</v>
      </c>
      <c r="S3" s="1103">
        <v>45126</v>
      </c>
      <c r="T3" s="1112" t="s">
        <v>1126</v>
      </c>
      <c r="U3" s="1103">
        <v>45168</v>
      </c>
      <c r="V3" s="1112" t="s">
        <v>1126</v>
      </c>
      <c r="W3" s="1103">
        <v>45196</v>
      </c>
      <c r="X3" s="1112" t="s">
        <v>1126</v>
      </c>
      <c r="Y3" s="1103">
        <v>45225</v>
      </c>
      <c r="Z3" s="1112" t="s">
        <v>1126</v>
      </c>
      <c r="AA3" s="1103">
        <v>45243</v>
      </c>
      <c r="AB3" s="1112" t="s">
        <v>1126</v>
      </c>
      <c r="AC3" s="1103">
        <v>45288</v>
      </c>
      <c r="AD3" s="1112" t="s">
        <v>1126</v>
      </c>
    </row>
    <row r="4" spans="1:30" ht="15.75">
      <c r="A4" t="s">
        <v>770</v>
      </c>
      <c r="C4" s="2149" t="s">
        <v>476</v>
      </c>
      <c r="D4" s="1073" t="s">
        <v>1127</v>
      </c>
      <c r="E4" s="1074" t="s">
        <v>1128</v>
      </c>
      <c r="G4" s="771">
        <v>4474</v>
      </c>
      <c r="H4" s="1037">
        <f>G4</f>
        <v>4474</v>
      </c>
      <c r="I4" s="771">
        <v>1496.8</v>
      </c>
      <c r="J4" s="1037">
        <f>I4</f>
        <v>1496.8</v>
      </c>
      <c r="K4" s="771">
        <v>1488.1</v>
      </c>
      <c r="L4" s="1037">
        <f>K4</f>
        <v>1488.1</v>
      </c>
      <c r="M4" s="771">
        <v>1592.1</v>
      </c>
      <c r="N4" s="1037">
        <f>M4</f>
        <v>1592.1</v>
      </c>
      <c r="O4" s="771">
        <v>1504.6</v>
      </c>
      <c r="P4" s="1037">
        <f>O4</f>
        <v>1504.6</v>
      </c>
      <c r="Q4" s="771">
        <v>1804.1</v>
      </c>
      <c r="R4" s="1037">
        <f>Q4</f>
        <v>1804.1</v>
      </c>
      <c r="S4" s="771">
        <v>1210.7</v>
      </c>
      <c r="T4" s="1037">
        <f>S4</f>
        <v>1210.7</v>
      </c>
      <c r="U4" s="771">
        <v>1997.8</v>
      </c>
      <c r="V4" s="1037">
        <f>U4</f>
        <v>1997.8</v>
      </c>
      <c r="W4" s="771">
        <v>1489.1</v>
      </c>
      <c r="X4" s="1037">
        <f>W4</f>
        <v>1489.1</v>
      </c>
      <c r="Y4" s="771">
        <v>800.1</v>
      </c>
      <c r="Z4" s="1037">
        <f>Y4</f>
        <v>800.1</v>
      </c>
      <c r="AA4" s="771">
        <v>0</v>
      </c>
      <c r="AB4" s="1037">
        <f>AA4</f>
        <v>0</v>
      </c>
      <c r="AC4" s="771">
        <v>799.3</v>
      </c>
      <c r="AD4" s="1037">
        <f>AC4</f>
        <v>799.3</v>
      </c>
    </row>
    <row r="5" spans="1:30" ht="15.75">
      <c r="C5" s="2150"/>
      <c r="D5" s="1075" t="s">
        <v>1129</v>
      </c>
      <c r="E5" s="1076" t="s">
        <v>1128</v>
      </c>
      <c r="G5" s="771">
        <v>1505.5</v>
      </c>
      <c r="H5" s="1104">
        <f>G5</f>
        <v>1505.5</v>
      </c>
      <c r="I5" s="771">
        <v>2983.3</v>
      </c>
      <c r="J5" s="1104">
        <f>I5</f>
        <v>2983.3</v>
      </c>
      <c r="K5" s="771">
        <v>1985.6</v>
      </c>
      <c r="L5" s="1104">
        <f>K5</f>
        <v>1985.6</v>
      </c>
      <c r="M5" s="771">
        <v>1530.9</v>
      </c>
      <c r="N5" s="1104">
        <f>M5</f>
        <v>1530.9</v>
      </c>
      <c r="O5" s="771">
        <v>2194.1</v>
      </c>
      <c r="P5" s="1104">
        <f>O5</f>
        <v>2194.1</v>
      </c>
      <c r="Q5" s="771">
        <v>2195.9</v>
      </c>
      <c r="R5" s="1104">
        <f>Q5</f>
        <v>2195.9</v>
      </c>
      <c r="S5" s="771">
        <v>2988.1</v>
      </c>
      <c r="T5" s="1104">
        <f>S5</f>
        <v>2988.1</v>
      </c>
      <c r="U5" s="771">
        <v>2998.8</v>
      </c>
      <c r="V5" s="1104">
        <f>U5</f>
        <v>2998.8</v>
      </c>
      <c r="W5" s="771">
        <v>2501.9</v>
      </c>
      <c r="X5" s="1104">
        <f>W5</f>
        <v>2501.9</v>
      </c>
      <c r="Y5" s="771">
        <v>1480.3</v>
      </c>
      <c r="Z5" s="1104">
        <f>Y5</f>
        <v>1480.3</v>
      </c>
      <c r="AA5" s="771">
        <v>0</v>
      </c>
      <c r="AB5" s="1104">
        <f>AA5</f>
        <v>0</v>
      </c>
      <c r="AC5" s="771">
        <v>1995.8</v>
      </c>
      <c r="AD5" s="1104">
        <f>AC5</f>
        <v>1995.8</v>
      </c>
    </row>
    <row r="6" spans="1:30" ht="16.5" thickBot="1">
      <c r="C6" s="2150"/>
      <c r="D6" s="1077" t="s">
        <v>1130</v>
      </c>
      <c r="E6" s="1078" t="s">
        <v>1128</v>
      </c>
      <c r="G6" s="771">
        <v>0</v>
      </c>
      <c r="H6" s="1104">
        <f>G6</f>
        <v>0</v>
      </c>
      <c r="I6" s="771">
        <v>0</v>
      </c>
      <c r="J6" s="1104">
        <f>I6</f>
        <v>0</v>
      </c>
      <c r="K6" s="771">
        <v>0</v>
      </c>
      <c r="L6" s="1104">
        <f>K6</f>
        <v>0</v>
      </c>
      <c r="M6" s="771">
        <v>1771</v>
      </c>
      <c r="N6" s="1104">
        <f>M6</f>
        <v>1771</v>
      </c>
      <c r="O6" s="771">
        <v>294.8</v>
      </c>
      <c r="P6" s="1104">
        <f>O6</f>
        <v>294.8</v>
      </c>
      <c r="Q6" s="771">
        <v>202</v>
      </c>
      <c r="R6" s="1104">
        <f>Q6</f>
        <v>202</v>
      </c>
      <c r="S6" s="771">
        <v>301.8</v>
      </c>
      <c r="T6" s="1104">
        <f>S6</f>
        <v>301.8</v>
      </c>
      <c r="U6" s="771">
        <v>600.6</v>
      </c>
      <c r="V6" s="1104">
        <f>U6</f>
        <v>600.6</v>
      </c>
      <c r="W6" s="771">
        <v>0</v>
      </c>
      <c r="X6" s="1104">
        <f>W6</f>
        <v>0</v>
      </c>
      <c r="Y6" s="771">
        <v>961.7</v>
      </c>
      <c r="Z6" s="1104">
        <f>Y6</f>
        <v>961.7</v>
      </c>
      <c r="AA6" s="771">
        <v>0</v>
      </c>
      <c r="AB6" s="1104">
        <f>AA6</f>
        <v>0</v>
      </c>
      <c r="AC6" s="771">
        <v>994.9</v>
      </c>
      <c r="AD6" s="1104">
        <f>AC6</f>
        <v>994.9</v>
      </c>
    </row>
    <row r="7" spans="1:30" ht="16.5" thickBot="1">
      <c r="C7" s="2151"/>
      <c r="D7" s="1079" t="s">
        <v>334</v>
      </c>
      <c r="E7" s="1080" t="s">
        <v>224</v>
      </c>
      <c r="G7" s="1105">
        <f>SUM(G4:G6)</f>
        <v>5979.5</v>
      </c>
      <c r="H7" s="1106">
        <f>H4+H5+H6</f>
        <v>5979.5</v>
      </c>
      <c r="I7" s="1105">
        <f>SUM(I4:I6)</f>
        <v>4480.1000000000004</v>
      </c>
      <c r="J7" s="1106">
        <f>J4+J5+J6</f>
        <v>4480.1000000000004</v>
      </c>
      <c r="K7" s="1105">
        <f>SUM(K4:K6)</f>
        <v>3473.7</v>
      </c>
      <c r="L7" s="1106">
        <f>L4+L5+L6</f>
        <v>3473.7</v>
      </c>
      <c r="M7" s="1105">
        <f>SUM(M4:M6)</f>
        <v>4894</v>
      </c>
      <c r="N7" s="1106">
        <f>N4+N5+N6</f>
        <v>4894</v>
      </c>
      <c r="O7" s="1105">
        <f>SUM(O4:O6)</f>
        <v>3993.5</v>
      </c>
      <c r="P7" s="1106">
        <f>P4+P5+P6</f>
        <v>3993.5</v>
      </c>
      <c r="Q7" s="1105">
        <f t="shared" ref="Q7" si="0">SUM(Q4:Q6)</f>
        <v>4202</v>
      </c>
      <c r="R7" s="1106">
        <f>R4+R5+R6</f>
        <v>4202</v>
      </c>
      <c r="S7" s="1105">
        <f t="shared" ref="S7" si="1">SUM(S4:S6)</f>
        <v>4500.6000000000004</v>
      </c>
      <c r="T7" s="1106">
        <f>T4+T5+T6</f>
        <v>4500.6000000000004</v>
      </c>
      <c r="U7" s="1105">
        <f t="shared" ref="U7" si="2">SUM(U4:U6)</f>
        <v>5597.2000000000007</v>
      </c>
      <c r="V7" s="1106">
        <f>V4+V5+V6</f>
        <v>5597.2000000000007</v>
      </c>
      <c r="W7" s="1105">
        <f>SUM(W4:W6)</f>
        <v>3991</v>
      </c>
      <c r="X7" s="1106">
        <f>X4+X5+X6</f>
        <v>3991</v>
      </c>
      <c r="Y7" s="1105"/>
      <c r="Z7" s="1106">
        <f>Z4+Z5+Z6</f>
        <v>3242.1000000000004</v>
      </c>
      <c r="AA7" s="1105">
        <f>SUM(AA4:AA6)</f>
        <v>0</v>
      </c>
      <c r="AB7" s="1106">
        <f>AB4+AB5+AB6</f>
        <v>0</v>
      </c>
      <c r="AC7" s="1105">
        <f>SUM(AC4:AC6)</f>
        <v>3790</v>
      </c>
      <c r="AD7" s="1106">
        <f>AD4+AD5+AD6</f>
        <v>3790</v>
      </c>
    </row>
    <row r="8" spans="1:30" ht="15" customHeight="1">
      <c r="C8" s="2149" t="s">
        <v>221</v>
      </c>
      <c r="D8" s="1081" t="s">
        <v>1131</v>
      </c>
      <c r="E8" s="1082" t="s">
        <v>1132</v>
      </c>
      <c r="G8" s="771">
        <v>0</v>
      </c>
      <c r="H8" s="1104">
        <f t="shared" ref="H8:H13" si="3">G8</f>
        <v>0</v>
      </c>
      <c r="I8" s="771">
        <v>0</v>
      </c>
      <c r="J8" s="1104">
        <f t="shared" ref="J8:J13" si="4">I8</f>
        <v>0</v>
      </c>
      <c r="K8" s="771">
        <v>0</v>
      </c>
      <c r="L8" s="1104">
        <f t="shared" ref="L8:L13" si="5">K8</f>
        <v>0</v>
      </c>
      <c r="M8" s="771">
        <v>0</v>
      </c>
      <c r="N8" s="1104">
        <f t="shared" ref="N8:N13" si="6">M8</f>
        <v>0</v>
      </c>
      <c r="O8" s="771">
        <v>0</v>
      </c>
      <c r="P8" s="1104">
        <f t="shared" ref="P8:P13" si="7">O8</f>
        <v>0</v>
      </c>
      <c r="Q8" s="771">
        <v>0</v>
      </c>
      <c r="R8" s="1104">
        <f t="shared" ref="R8:R13" si="8">Q8</f>
        <v>0</v>
      </c>
      <c r="S8" s="771">
        <v>0</v>
      </c>
      <c r="T8" s="1104">
        <f t="shared" ref="T8:T13" si="9">S8</f>
        <v>0</v>
      </c>
      <c r="U8" s="771">
        <v>0</v>
      </c>
      <c r="V8" s="1104">
        <f t="shared" ref="V8:V13" si="10">U8</f>
        <v>0</v>
      </c>
      <c r="W8" s="771">
        <v>0</v>
      </c>
      <c r="X8" s="1104">
        <f t="shared" ref="X8:X13" si="11">W8</f>
        <v>0</v>
      </c>
      <c r="Y8" s="771">
        <v>0</v>
      </c>
      <c r="Z8" s="1104">
        <f t="shared" ref="Z8:Z13" si="12">Y8</f>
        <v>0</v>
      </c>
      <c r="AA8" s="771">
        <v>0</v>
      </c>
      <c r="AB8" s="1104">
        <f t="shared" ref="AB8:AB13" si="13">AA8</f>
        <v>0</v>
      </c>
      <c r="AC8" s="771"/>
      <c r="AD8" s="1104">
        <f t="shared" ref="AD8:AD13" si="14">AC8</f>
        <v>0</v>
      </c>
    </row>
    <row r="9" spans="1:30" ht="15" customHeight="1">
      <c r="C9" s="2150"/>
      <c r="D9" s="1083" t="s">
        <v>1133</v>
      </c>
      <c r="E9" s="1084" t="s">
        <v>1132</v>
      </c>
      <c r="G9" s="771">
        <v>384.5</v>
      </c>
      <c r="H9" s="1104">
        <f t="shared" si="3"/>
        <v>384.5</v>
      </c>
      <c r="I9" s="771">
        <v>500</v>
      </c>
      <c r="J9" s="1104">
        <f t="shared" si="4"/>
        <v>500</v>
      </c>
      <c r="K9" s="771">
        <v>633.79999999999995</v>
      </c>
      <c r="L9" s="1104">
        <f t="shared" si="5"/>
        <v>633.79999999999995</v>
      </c>
      <c r="M9" s="771">
        <v>441.5</v>
      </c>
      <c r="N9" s="1104">
        <f t="shared" si="6"/>
        <v>441.5</v>
      </c>
      <c r="O9" s="771">
        <v>350.1</v>
      </c>
      <c r="P9" s="1104">
        <f t="shared" si="7"/>
        <v>350.1</v>
      </c>
      <c r="Q9" s="771">
        <v>0</v>
      </c>
      <c r="R9" s="1104">
        <f t="shared" si="8"/>
        <v>0</v>
      </c>
      <c r="S9" s="771">
        <v>349.6</v>
      </c>
      <c r="T9" s="1104">
        <f t="shared" si="9"/>
        <v>349.6</v>
      </c>
      <c r="U9" s="771">
        <v>495.6</v>
      </c>
      <c r="V9" s="1104">
        <f t="shared" si="10"/>
        <v>495.6</v>
      </c>
      <c r="W9" s="771">
        <v>0</v>
      </c>
      <c r="X9" s="1104">
        <f t="shared" si="11"/>
        <v>0</v>
      </c>
      <c r="Y9" s="771">
        <v>471.1</v>
      </c>
      <c r="Z9" s="1104">
        <f t="shared" si="12"/>
        <v>471.1</v>
      </c>
      <c r="AA9" s="771">
        <v>0</v>
      </c>
      <c r="AB9" s="1104">
        <f t="shared" si="13"/>
        <v>0</v>
      </c>
      <c r="AC9" s="771">
        <v>696.7</v>
      </c>
      <c r="AD9" s="1104">
        <f t="shared" si="14"/>
        <v>696.7</v>
      </c>
    </row>
    <row r="10" spans="1:30" ht="15" customHeight="1">
      <c r="C10" s="2150"/>
      <c r="D10" s="1083" t="s">
        <v>1134</v>
      </c>
      <c r="E10" s="1084" t="s">
        <v>1132</v>
      </c>
      <c r="F10" t="s">
        <v>1135</v>
      </c>
      <c r="G10" s="771">
        <v>168.3</v>
      </c>
      <c r="H10" s="1104">
        <f t="shared" si="3"/>
        <v>168.3</v>
      </c>
      <c r="I10" s="771">
        <v>0</v>
      </c>
      <c r="J10" s="1104">
        <f t="shared" si="4"/>
        <v>0</v>
      </c>
      <c r="K10" s="771">
        <v>0</v>
      </c>
      <c r="L10" s="1104">
        <f t="shared" si="5"/>
        <v>0</v>
      </c>
      <c r="M10" s="771">
        <v>0</v>
      </c>
      <c r="N10" s="1104">
        <f t="shared" si="6"/>
        <v>0</v>
      </c>
      <c r="O10" s="771">
        <v>0</v>
      </c>
      <c r="P10" s="1104">
        <f t="shared" si="7"/>
        <v>0</v>
      </c>
      <c r="Q10" s="771">
        <v>267.7</v>
      </c>
      <c r="R10" s="1104">
        <f t="shared" si="8"/>
        <v>267.7</v>
      </c>
      <c r="S10" s="771">
        <v>447.3</v>
      </c>
      <c r="T10" s="1104">
        <f t="shared" si="9"/>
        <v>447.3</v>
      </c>
      <c r="U10" s="771">
        <v>0</v>
      </c>
      <c r="V10" s="1104">
        <f t="shared" si="10"/>
        <v>0</v>
      </c>
      <c r="W10" s="771">
        <v>0</v>
      </c>
      <c r="X10" s="1104">
        <f t="shared" si="11"/>
        <v>0</v>
      </c>
      <c r="Y10" s="771">
        <v>0</v>
      </c>
      <c r="Z10" s="1104">
        <f t="shared" si="12"/>
        <v>0</v>
      </c>
      <c r="AA10" s="771">
        <v>0</v>
      </c>
      <c r="AB10" s="1104">
        <f t="shared" si="13"/>
        <v>0</v>
      </c>
      <c r="AC10" s="771"/>
      <c r="AD10" s="1104">
        <f t="shared" si="14"/>
        <v>0</v>
      </c>
    </row>
    <row r="11" spans="1:30" ht="15" customHeight="1">
      <c r="C11" s="2150"/>
      <c r="D11" s="1083" t="s">
        <v>1136</v>
      </c>
      <c r="E11" s="1084" t="s">
        <v>1132</v>
      </c>
      <c r="F11" t="s">
        <v>1137</v>
      </c>
      <c r="G11" s="771">
        <v>1237.2</v>
      </c>
      <c r="H11" s="1104">
        <f t="shared" si="3"/>
        <v>1237.2</v>
      </c>
      <c r="I11" s="771">
        <v>296.3</v>
      </c>
      <c r="J11" s="1104">
        <f t="shared" si="4"/>
        <v>296.3</v>
      </c>
      <c r="K11" s="771">
        <v>203.4</v>
      </c>
      <c r="L11" s="1104">
        <f t="shared" si="5"/>
        <v>203.4</v>
      </c>
      <c r="M11" s="771">
        <v>401.3</v>
      </c>
      <c r="N11" s="1104">
        <f t="shared" si="6"/>
        <v>401.3</v>
      </c>
      <c r="O11" s="771">
        <v>0</v>
      </c>
      <c r="P11" s="1104">
        <f t="shared" si="7"/>
        <v>0</v>
      </c>
      <c r="Q11" s="771">
        <v>0</v>
      </c>
      <c r="R11" s="1104">
        <f t="shared" si="8"/>
        <v>0</v>
      </c>
      <c r="S11" s="771">
        <v>0</v>
      </c>
      <c r="T11" s="1104">
        <f t="shared" si="9"/>
        <v>0</v>
      </c>
      <c r="U11" s="771">
        <v>300.2</v>
      </c>
      <c r="V11" s="1104">
        <f t="shared" si="10"/>
        <v>300.2</v>
      </c>
      <c r="W11" s="771">
        <v>0</v>
      </c>
      <c r="X11" s="1104">
        <f t="shared" si="11"/>
        <v>0</v>
      </c>
      <c r="Y11" s="771">
        <v>432.5</v>
      </c>
      <c r="Z11" s="1104">
        <f t="shared" si="12"/>
        <v>432.5</v>
      </c>
      <c r="AA11" s="771">
        <v>0</v>
      </c>
      <c r="AB11" s="1104">
        <f t="shared" si="13"/>
        <v>0</v>
      </c>
      <c r="AC11" s="771">
        <v>581.79999999999995</v>
      </c>
      <c r="AD11" s="1104">
        <f t="shared" si="14"/>
        <v>581.79999999999995</v>
      </c>
    </row>
    <row r="12" spans="1:30" ht="15" customHeight="1">
      <c r="C12" s="2150"/>
      <c r="D12" s="1083" t="s">
        <v>1138</v>
      </c>
      <c r="E12" s="1084" t="s">
        <v>1132</v>
      </c>
      <c r="F12" t="s">
        <v>1139</v>
      </c>
      <c r="G12" s="771">
        <v>0</v>
      </c>
      <c r="H12" s="1104">
        <f t="shared" si="3"/>
        <v>0</v>
      </c>
      <c r="I12" s="771">
        <v>0</v>
      </c>
      <c r="J12" s="1104">
        <f t="shared" si="4"/>
        <v>0</v>
      </c>
      <c r="K12" s="771">
        <v>0</v>
      </c>
      <c r="L12" s="1104">
        <f t="shared" si="5"/>
        <v>0</v>
      </c>
      <c r="M12" s="771">
        <v>0</v>
      </c>
      <c r="N12" s="1104">
        <f t="shared" si="6"/>
        <v>0</v>
      </c>
      <c r="O12" s="771">
        <v>0</v>
      </c>
      <c r="P12" s="1104">
        <f t="shared" si="7"/>
        <v>0</v>
      </c>
      <c r="Q12" s="771">
        <v>0</v>
      </c>
      <c r="R12" s="1104">
        <f t="shared" si="8"/>
        <v>0</v>
      </c>
      <c r="S12" s="771">
        <v>0</v>
      </c>
      <c r="T12" s="1104">
        <f t="shared" si="9"/>
        <v>0</v>
      </c>
      <c r="U12" s="771">
        <v>0</v>
      </c>
      <c r="V12" s="1104">
        <f t="shared" si="10"/>
        <v>0</v>
      </c>
      <c r="W12" s="771">
        <v>0</v>
      </c>
      <c r="X12" s="1104">
        <f t="shared" si="11"/>
        <v>0</v>
      </c>
      <c r="Y12" s="771">
        <v>0</v>
      </c>
      <c r="Z12" s="1104">
        <f t="shared" si="12"/>
        <v>0</v>
      </c>
      <c r="AA12" s="771">
        <v>0</v>
      </c>
      <c r="AB12" s="1104">
        <f t="shared" si="13"/>
        <v>0</v>
      </c>
      <c r="AC12" s="771"/>
      <c r="AD12" s="1104">
        <f t="shared" si="14"/>
        <v>0</v>
      </c>
    </row>
    <row r="13" spans="1:30" ht="15" customHeight="1">
      <c r="C13" s="2150"/>
      <c r="D13" s="1083" t="s">
        <v>1140</v>
      </c>
      <c r="E13" s="1084" t="s">
        <v>1128</v>
      </c>
      <c r="G13" s="771">
        <v>0</v>
      </c>
      <c r="H13" s="1104">
        <f t="shared" si="3"/>
        <v>0</v>
      </c>
      <c r="I13" s="771">
        <v>0</v>
      </c>
      <c r="J13" s="1104">
        <f t="shared" si="4"/>
        <v>0</v>
      </c>
      <c r="K13" s="771">
        <v>166.6</v>
      </c>
      <c r="L13" s="1104">
        <f t="shared" si="5"/>
        <v>166.6</v>
      </c>
      <c r="M13" s="771">
        <v>0</v>
      </c>
      <c r="N13" s="1104">
        <f t="shared" si="6"/>
        <v>0</v>
      </c>
      <c r="O13" s="771">
        <v>149.19999999999999</v>
      </c>
      <c r="P13" s="1104">
        <f t="shared" si="7"/>
        <v>149.19999999999999</v>
      </c>
      <c r="Q13" s="771">
        <v>52.4</v>
      </c>
      <c r="R13" s="1104">
        <f t="shared" si="8"/>
        <v>52.4</v>
      </c>
      <c r="S13" s="771">
        <v>0</v>
      </c>
      <c r="T13" s="1104">
        <f t="shared" si="9"/>
        <v>0</v>
      </c>
      <c r="U13" s="771">
        <v>150.4</v>
      </c>
      <c r="V13" s="1104">
        <f t="shared" si="10"/>
        <v>150.4</v>
      </c>
      <c r="W13" s="771">
        <v>0</v>
      </c>
      <c r="X13" s="1104">
        <f t="shared" si="11"/>
        <v>0</v>
      </c>
      <c r="Y13" s="771">
        <v>0</v>
      </c>
      <c r="Z13" s="1104">
        <f t="shared" si="12"/>
        <v>0</v>
      </c>
      <c r="AA13" s="771">
        <v>0</v>
      </c>
      <c r="AB13" s="1104">
        <f t="shared" si="13"/>
        <v>0</v>
      </c>
      <c r="AC13" s="771"/>
      <c r="AD13" s="1104">
        <f t="shared" si="14"/>
        <v>0</v>
      </c>
    </row>
    <row r="14" spans="1:30" ht="15" customHeight="1">
      <c r="C14" s="2150"/>
      <c r="D14" s="1083" t="s">
        <v>1141</v>
      </c>
      <c r="E14" s="1084" t="s">
        <v>1142</v>
      </c>
      <c r="G14" s="771">
        <v>0</v>
      </c>
      <c r="H14" s="1104">
        <f>G14*8</f>
        <v>0</v>
      </c>
      <c r="I14" s="771">
        <v>0</v>
      </c>
      <c r="J14" s="1104">
        <f>I14*8</f>
        <v>0</v>
      </c>
      <c r="K14" s="771">
        <v>0</v>
      </c>
      <c r="L14" s="1104">
        <f>K14*8</f>
        <v>0</v>
      </c>
      <c r="M14" s="771">
        <v>0</v>
      </c>
      <c r="N14" s="1104">
        <f>M14*8</f>
        <v>0</v>
      </c>
      <c r="O14" s="771">
        <v>0</v>
      </c>
      <c r="P14" s="1104">
        <f>O14*8</f>
        <v>0</v>
      </c>
      <c r="Q14" s="771">
        <v>0</v>
      </c>
      <c r="R14" s="1104">
        <f>Q14*8</f>
        <v>0</v>
      </c>
      <c r="S14" s="771">
        <v>0</v>
      </c>
      <c r="T14" s="1104">
        <f>S14*8</f>
        <v>0</v>
      </c>
      <c r="U14" s="771">
        <v>5</v>
      </c>
      <c r="V14" s="1104">
        <f>U14*8</f>
        <v>40</v>
      </c>
      <c r="W14" s="771">
        <v>0</v>
      </c>
      <c r="X14" s="1104">
        <f>W14*8</f>
        <v>0</v>
      </c>
      <c r="Y14" s="771">
        <v>0</v>
      </c>
      <c r="Z14" s="1104">
        <f>Y14*8</f>
        <v>0</v>
      </c>
      <c r="AA14" s="771">
        <v>0</v>
      </c>
      <c r="AB14" s="1104">
        <f>AA14*8</f>
        <v>0</v>
      </c>
      <c r="AC14" s="771"/>
      <c r="AD14" s="1104">
        <f>AC14*8</f>
        <v>0</v>
      </c>
    </row>
    <row r="15" spans="1:30" ht="15" customHeight="1">
      <c r="C15" s="2150"/>
      <c r="D15" s="1083" t="s">
        <v>1143</v>
      </c>
      <c r="E15" s="1084" t="s">
        <v>1142</v>
      </c>
      <c r="G15" s="771">
        <v>0</v>
      </c>
      <c r="H15" s="1104">
        <f>G15*10</f>
        <v>0</v>
      </c>
      <c r="I15" s="771">
        <v>30</v>
      </c>
      <c r="J15" s="1104">
        <f>I15*10</f>
        <v>300</v>
      </c>
      <c r="K15" s="771">
        <v>0</v>
      </c>
      <c r="L15" s="1104">
        <f>K15*10</f>
        <v>0</v>
      </c>
      <c r="M15" s="771">
        <v>0</v>
      </c>
      <c r="N15" s="1104">
        <f>M15*10</f>
        <v>0</v>
      </c>
      <c r="O15" s="771">
        <v>8</v>
      </c>
      <c r="P15" s="1104">
        <f>O15*10</f>
        <v>80</v>
      </c>
      <c r="Q15" s="771">
        <v>12</v>
      </c>
      <c r="R15" s="1104">
        <f>Q15*10</f>
        <v>120</v>
      </c>
      <c r="S15" s="771">
        <v>40</v>
      </c>
      <c r="T15" s="1104">
        <f>S15*10</f>
        <v>400</v>
      </c>
      <c r="U15" s="771">
        <v>23</v>
      </c>
      <c r="V15" s="1104">
        <f>U15*10</f>
        <v>230</v>
      </c>
      <c r="W15" s="771">
        <v>0</v>
      </c>
      <c r="X15" s="1104">
        <f>W15*10</f>
        <v>0</v>
      </c>
      <c r="Y15" s="771">
        <v>38</v>
      </c>
      <c r="Z15" s="1104">
        <f>Y15*10</f>
        <v>380</v>
      </c>
      <c r="AA15" s="771">
        <v>10</v>
      </c>
      <c r="AB15" s="1104">
        <f>AA15*10</f>
        <v>100</v>
      </c>
      <c r="AC15" s="771">
        <v>10</v>
      </c>
      <c r="AD15" s="1104">
        <f>AC15*10</f>
        <v>100</v>
      </c>
    </row>
    <row r="16" spans="1:30" ht="15" customHeight="1">
      <c r="C16" s="2150"/>
      <c r="D16" s="1083" t="s">
        <v>1144</v>
      </c>
      <c r="E16" s="1084" t="s">
        <v>1142</v>
      </c>
      <c r="G16" s="771">
        <v>0</v>
      </c>
      <c r="H16" s="1104">
        <f>G16*1.5</f>
        <v>0</v>
      </c>
      <c r="I16" s="771">
        <v>0</v>
      </c>
      <c r="J16" s="1104">
        <f>I16*1.5</f>
        <v>0</v>
      </c>
      <c r="K16" s="771">
        <v>0</v>
      </c>
      <c r="L16" s="1104">
        <f>K16*1.5</f>
        <v>0</v>
      </c>
      <c r="M16" s="771">
        <v>0</v>
      </c>
      <c r="N16" s="1104">
        <f>M16*1.5</f>
        <v>0</v>
      </c>
      <c r="O16" s="771">
        <v>0</v>
      </c>
      <c r="P16" s="1104">
        <f>O16*1.5</f>
        <v>0</v>
      </c>
      <c r="Q16" s="771">
        <v>0</v>
      </c>
      <c r="R16" s="1104">
        <f>Q16*1.5</f>
        <v>0</v>
      </c>
      <c r="S16" s="771">
        <v>0</v>
      </c>
      <c r="T16" s="1104">
        <f>S16*1.5</f>
        <v>0</v>
      </c>
      <c r="U16" s="771">
        <v>0</v>
      </c>
      <c r="V16" s="1104">
        <f>U16*1.5</f>
        <v>0</v>
      </c>
      <c r="W16" s="771">
        <v>0</v>
      </c>
      <c r="X16" s="1104">
        <f>W16*1.5</f>
        <v>0</v>
      </c>
      <c r="Y16" s="771">
        <v>0</v>
      </c>
      <c r="Z16" s="1104">
        <f>Y16*1.5</f>
        <v>0</v>
      </c>
      <c r="AA16" s="771">
        <v>0</v>
      </c>
      <c r="AB16" s="1104">
        <f>AA16*1.5</f>
        <v>0</v>
      </c>
      <c r="AC16" s="771">
        <v>120</v>
      </c>
      <c r="AD16" s="1104">
        <f>AC16*1.5</f>
        <v>180</v>
      </c>
    </row>
    <row r="17" spans="3:30" ht="15" customHeight="1">
      <c r="C17" s="2150"/>
      <c r="D17" s="1083" t="s">
        <v>1145</v>
      </c>
      <c r="E17" s="1084" t="s">
        <v>1142</v>
      </c>
      <c r="G17" s="771">
        <v>0</v>
      </c>
      <c r="H17" s="1104">
        <f>G17*1</f>
        <v>0</v>
      </c>
      <c r="I17" s="771">
        <v>60</v>
      </c>
      <c r="J17" s="1104">
        <f>I17*1</f>
        <v>60</v>
      </c>
      <c r="K17" s="771">
        <v>0</v>
      </c>
      <c r="L17" s="1104">
        <f>K17*1</f>
        <v>0</v>
      </c>
      <c r="M17" s="771">
        <v>79</v>
      </c>
      <c r="N17" s="1104">
        <f>M17*1</f>
        <v>79</v>
      </c>
      <c r="O17" s="771">
        <v>32</v>
      </c>
      <c r="P17" s="1104">
        <f>O17*1</f>
        <v>32</v>
      </c>
      <c r="Q17" s="771">
        <v>0</v>
      </c>
      <c r="R17" s="1104">
        <f>Q17*1</f>
        <v>0</v>
      </c>
      <c r="S17" s="771">
        <v>0</v>
      </c>
      <c r="T17" s="1104">
        <f>S17*1</f>
        <v>0</v>
      </c>
      <c r="U17" s="771">
        <v>171</v>
      </c>
      <c r="V17" s="1104">
        <f>U17*1</f>
        <v>171</v>
      </c>
      <c r="W17" s="771">
        <v>0</v>
      </c>
      <c r="X17" s="1104">
        <f>W17*1</f>
        <v>0</v>
      </c>
      <c r="Y17" s="771">
        <v>0</v>
      </c>
      <c r="Z17" s="1104">
        <f>Y17*1</f>
        <v>0</v>
      </c>
      <c r="AA17" s="771">
        <v>0</v>
      </c>
      <c r="AB17" s="1104">
        <f>AA17*1</f>
        <v>0</v>
      </c>
      <c r="AC17" s="771"/>
      <c r="AD17" s="1104">
        <f>AC17*1</f>
        <v>0</v>
      </c>
    </row>
    <row r="18" spans="3:30" ht="15" customHeight="1">
      <c r="C18" s="2150"/>
      <c r="D18" s="1083" t="s">
        <v>1146</v>
      </c>
      <c r="E18" s="1084" t="s">
        <v>1132</v>
      </c>
      <c r="G18" s="771">
        <v>0</v>
      </c>
      <c r="H18" s="1104">
        <f>G18</f>
        <v>0</v>
      </c>
      <c r="I18" s="771">
        <v>1000.4</v>
      </c>
      <c r="J18" s="1104">
        <f>I18</f>
        <v>1000.4</v>
      </c>
      <c r="K18" s="771">
        <v>0</v>
      </c>
      <c r="L18" s="1104">
        <f>K18</f>
        <v>0</v>
      </c>
      <c r="M18" s="771">
        <v>0</v>
      </c>
      <c r="N18" s="1104">
        <f>M18</f>
        <v>0</v>
      </c>
      <c r="O18" s="771">
        <v>409.1</v>
      </c>
      <c r="P18" s="1104">
        <f>O18</f>
        <v>409.1</v>
      </c>
      <c r="Q18" s="771">
        <v>0</v>
      </c>
      <c r="R18" s="1104">
        <f>Q18</f>
        <v>0</v>
      </c>
      <c r="S18" s="771">
        <v>0</v>
      </c>
      <c r="T18" s="1104">
        <f>S18</f>
        <v>0</v>
      </c>
      <c r="U18" s="771">
        <v>0</v>
      </c>
      <c r="V18" s="1104">
        <f>U18</f>
        <v>0</v>
      </c>
      <c r="W18" s="771">
        <v>0</v>
      </c>
      <c r="X18" s="1104">
        <f>W18</f>
        <v>0</v>
      </c>
      <c r="Y18" s="771">
        <v>0</v>
      </c>
      <c r="Z18" s="1104">
        <f>Y18</f>
        <v>0</v>
      </c>
      <c r="AA18" s="771">
        <v>0</v>
      </c>
      <c r="AB18" s="1104">
        <f>AA18</f>
        <v>0</v>
      </c>
      <c r="AC18" s="771"/>
      <c r="AD18" s="1104">
        <f>AC18</f>
        <v>0</v>
      </c>
    </row>
    <row r="19" spans="3:30" ht="15" customHeight="1">
      <c r="C19" s="2150"/>
      <c r="D19" s="1083" t="s">
        <v>1147</v>
      </c>
      <c r="E19" s="1084" t="s">
        <v>1142</v>
      </c>
      <c r="G19" s="771">
        <v>50</v>
      </c>
      <c r="H19" s="1037">
        <f>G19*65</f>
        <v>3250</v>
      </c>
      <c r="I19" s="771">
        <v>0</v>
      </c>
      <c r="J19" s="1037">
        <f>I19*65</f>
        <v>0</v>
      </c>
      <c r="K19" s="771">
        <v>90</v>
      </c>
      <c r="L19" s="1037">
        <f>K19*65</f>
        <v>5850</v>
      </c>
      <c r="M19" s="771">
        <v>90</v>
      </c>
      <c r="N19" s="1037">
        <f>M19*65</f>
        <v>5850</v>
      </c>
      <c r="O19" s="771">
        <v>60</v>
      </c>
      <c r="P19" s="1037">
        <f>O19*65</f>
        <v>3900</v>
      </c>
      <c r="Q19" s="771">
        <v>30</v>
      </c>
      <c r="R19" s="1037">
        <f>Q19*65</f>
        <v>1950</v>
      </c>
      <c r="S19" s="771">
        <v>0</v>
      </c>
      <c r="T19" s="1037">
        <f>S19*65</f>
        <v>0</v>
      </c>
      <c r="U19" s="771">
        <v>0</v>
      </c>
      <c r="V19" s="1037">
        <f>U19*65</f>
        <v>0</v>
      </c>
      <c r="W19" s="771">
        <v>0</v>
      </c>
      <c r="X19" s="1037">
        <f>W19*65</f>
        <v>0</v>
      </c>
      <c r="Y19" s="771">
        <v>0</v>
      </c>
      <c r="Z19" s="1037">
        <f>Y19*65</f>
        <v>0</v>
      </c>
      <c r="AA19" s="771">
        <v>0</v>
      </c>
      <c r="AB19" s="1037">
        <f>AA19*65</f>
        <v>0</v>
      </c>
      <c r="AC19" s="771"/>
      <c r="AD19" s="1037">
        <f>AC19*65</f>
        <v>0</v>
      </c>
    </row>
    <row r="20" spans="3:30" ht="15" customHeight="1" thickBot="1">
      <c r="C20" s="2150"/>
      <c r="D20" s="1085" t="s">
        <v>1148</v>
      </c>
      <c r="E20" s="1086" t="s">
        <v>1142</v>
      </c>
      <c r="G20" s="771">
        <v>0</v>
      </c>
      <c r="H20" s="1104"/>
      <c r="I20" s="771">
        <v>0</v>
      </c>
      <c r="J20" s="1104"/>
      <c r="K20" s="771">
        <v>0</v>
      </c>
      <c r="L20" s="1104"/>
      <c r="M20" s="771">
        <v>0</v>
      </c>
      <c r="N20" s="1104"/>
      <c r="O20" s="771">
        <v>0</v>
      </c>
      <c r="P20" s="1104"/>
      <c r="Q20" s="771">
        <v>0</v>
      </c>
      <c r="R20" s="1104"/>
      <c r="S20" s="771">
        <v>0</v>
      </c>
      <c r="T20" s="1104"/>
      <c r="U20" s="771">
        <v>0</v>
      </c>
      <c r="V20" s="1104"/>
      <c r="W20" s="771">
        <v>0</v>
      </c>
      <c r="X20" s="1104"/>
      <c r="Y20" s="771">
        <v>0</v>
      </c>
      <c r="Z20" s="1104"/>
      <c r="AA20" s="771">
        <v>0</v>
      </c>
      <c r="AB20" s="1104"/>
      <c r="AC20" s="771"/>
      <c r="AD20" s="1104"/>
    </row>
    <row r="21" spans="3:30" ht="15" customHeight="1">
      <c r="C21" s="2152"/>
      <c r="D21" s="2153" t="s">
        <v>334</v>
      </c>
      <c r="E21" s="1087" t="s">
        <v>224</v>
      </c>
      <c r="G21" s="1105">
        <f>G8+G9+G10+G11+G18+G12+G13</f>
        <v>1790</v>
      </c>
      <c r="H21" s="1107">
        <f>SUM(H8:H20)</f>
        <v>5040</v>
      </c>
      <c r="I21" s="1105">
        <f>I8+I9+I10+I11+I18+I12+I13</f>
        <v>1796.6999999999998</v>
      </c>
      <c r="J21" s="1107">
        <f>SUM(J8:J20)</f>
        <v>2156.6999999999998</v>
      </c>
      <c r="K21" s="1105">
        <f>K8+K9+K10+K11+K18+K12+K13</f>
        <v>1003.8</v>
      </c>
      <c r="L21" s="1107">
        <f>SUM(L8:L20)</f>
        <v>6853.8</v>
      </c>
      <c r="M21" s="1105">
        <f>M8+M9+M10+M11+M18+M12+M13</f>
        <v>842.8</v>
      </c>
      <c r="N21" s="1107">
        <f>SUM(N8:N20)</f>
        <v>6771.8</v>
      </c>
      <c r="O21" s="1105">
        <f>O8+O9+O10+O11+O18+O12+O13</f>
        <v>908.40000000000009</v>
      </c>
      <c r="P21" s="1107">
        <f>SUM(P8:P20)</f>
        <v>4920.3999999999996</v>
      </c>
      <c r="Q21" s="1105">
        <f t="shared" ref="Q21" si="15">Q8+Q9+Q10+Q11+Q18+Q12+Q13</f>
        <v>320.09999999999997</v>
      </c>
      <c r="R21" s="1107">
        <f>SUM(R8:R20)</f>
        <v>2390.1</v>
      </c>
      <c r="S21" s="1105">
        <f t="shared" ref="S21" si="16">S8+S9+S10+S11+S18+S12+S13</f>
        <v>796.90000000000009</v>
      </c>
      <c r="T21" s="1107">
        <f>SUM(T8:T20)</f>
        <v>1196.9000000000001</v>
      </c>
      <c r="U21" s="1105">
        <f t="shared" ref="U21:W21" si="17">U8+U9+U10+U11+U18+U12+U13</f>
        <v>946.19999999999993</v>
      </c>
      <c r="V21" s="1107">
        <f>SUM(V8:V20)</f>
        <v>1387.1999999999998</v>
      </c>
      <c r="W21" s="1105">
        <f t="shared" si="17"/>
        <v>0</v>
      </c>
      <c r="X21" s="1107">
        <f>SUM(X8:X20)</f>
        <v>0</v>
      </c>
      <c r="Y21" s="1105"/>
      <c r="Z21" s="1107">
        <f>SUM(Z8:Z20)</f>
        <v>1283.5999999999999</v>
      </c>
      <c r="AA21" s="1105">
        <f>AA8+AA9+AA10+AA11+AA18+AA12+AA13</f>
        <v>0</v>
      </c>
      <c r="AB21" s="1107">
        <f>SUM(AB8:AB20)</f>
        <v>100</v>
      </c>
      <c r="AC21" s="1105">
        <f>AC8+AC9+AC10+AC11+AC18+AC12+AC13</f>
        <v>1278.5</v>
      </c>
      <c r="AD21" s="1107">
        <f>SUM(AD8:AD20)</f>
        <v>1558.5</v>
      </c>
    </row>
    <row r="22" spans="3:30" ht="15" customHeight="1" thickBot="1">
      <c r="C22" s="2151"/>
      <c r="D22" s="2154"/>
      <c r="E22" s="1088" t="s">
        <v>1149</v>
      </c>
      <c r="G22" s="1105">
        <f>G14+G15+G16+G17+G19+G20</f>
        <v>50</v>
      </c>
      <c r="H22" s="1104"/>
      <c r="I22" s="1105">
        <f>I14+I15+I16+I17+I19+I20</f>
        <v>90</v>
      </c>
      <c r="J22" s="1104"/>
      <c r="K22" s="1105">
        <f>K14+K15+K16+K17+K19+K20</f>
        <v>90</v>
      </c>
      <c r="L22" s="1104"/>
      <c r="M22" s="1105">
        <f>M14+M15+M16+M17+M19+M20</f>
        <v>169</v>
      </c>
      <c r="N22" s="1104"/>
      <c r="O22" s="1105">
        <f>O14+O15+O16+O17+O19+O20</f>
        <v>100</v>
      </c>
      <c r="P22" s="1104"/>
      <c r="Q22" s="1105">
        <f t="shared" ref="Q22" si="18">Q14+Q15+Q16+Q17+Q19+Q20</f>
        <v>42</v>
      </c>
      <c r="R22" s="1104"/>
      <c r="S22" s="1105">
        <f t="shared" ref="S22" si="19">S14+S15+S16+S17+S19+S20</f>
        <v>40</v>
      </c>
      <c r="T22" s="1104"/>
      <c r="U22" s="1105">
        <f t="shared" ref="U22" si="20">U14+U15+U16+U17+U19+U20</f>
        <v>199</v>
      </c>
      <c r="V22" s="1104"/>
      <c r="W22" s="1105">
        <f t="shared" ref="W22" si="21">W14+W15+W16+W17+W19+W20</f>
        <v>0</v>
      </c>
      <c r="X22" s="1104"/>
      <c r="Y22" s="1105"/>
      <c r="Z22" s="1104"/>
      <c r="AA22" s="1105">
        <f>AA14+AA15+AA16+AA17+AA19+AA20</f>
        <v>10</v>
      </c>
      <c r="AB22" s="1104"/>
      <c r="AC22" s="1105"/>
      <c r="AD22" s="1104"/>
    </row>
    <row r="23" spans="3:30" ht="15.75">
      <c r="C23" s="2149" t="s">
        <v>477</v>
      </c>
      <c r="D23" s="1081" t="s">
        <v>1150</v>
      </c>
      <c r="E23" s="1089" t="s">
        <v>1128</v>
      </c>
      <c r="G23" s="771">
        <v>4011.8</v>
      </c>
      <c r="H23" s="1104">
        <f>G23</f>
        <v>4011.8</v>
      </c>
      <c r="I23" s="771">
        <v>600</v>
      </c>
      <c r="J23" s="1104">
        <f>I23</f>
        <v>600</v>
      </c>
      <c r="K23" s="771">
        <v>0</v>
      </c>
      <c r="L23" s="1104">
        <f>K23</f>
        <v>0</v>
      </c>
      <c r="M23" s="771">
        <v>500</v>
      </c>
      <c r="N23" s="1104">
        <f>M23</f>
        <v>500</v>
      </c>
      <c r="O23" s="771">
        <v>3000.4</v>
      </c>
      <c r="P23" s="1104">
        <f>O23</f>
        <v>3000.4</v>
      </c>
      <c r="Q23" s="771">
        <v>0</v>
      </c>
      <c r="R23" s="1104">
        <f>Q23</f>
        <v>0</v>
      </c>
      <c r="S23" s="771">
        <v>0</v>
      </c>
      <c r="T23" s="1104">
        <f>S23</f>
        <v>0</v>
      </c>
      <c r="U23" s="771">
        <v>0</v>
      </c>
      <c r="V23" s="1104">
        <f>U23</f>
        <v>0</v>
      </c>
      <c r="W23" s="771">
        <v>0</v>
      </c>
      <c r="X23" s="1104">
        <f>W23</f>
        <v>0</v>
      </c>
      <c r="Y23" s="771">
        <v>0</v>
      </c>
      <c r="Z23" s="1104">
        <f>Y23</f>
        <v>0</v>
      </c>
      <c r="AA23" s="771">
        <v>4689.7</v>
      </c>
      <c r="AB23" s="1104">
        <f>AA23</f>
        <v>4689.7</v>
      </c>
      <c r="AC23" s="771"/>
      <c r="AD23" s="1104">
        <f>AC23</f>
        <v>0</v>
      </c>
    </row>
    <row r="24" spans="3:30" ht="15.75">
      <c r="C24" s="2150"/>
      <c r="D24" s="1083" t="s">
        <v>1151</v>
      </c>
      <c r="E24" s="1074" t="s">
        <v>1142</v>
      </c>
      <c r="F24" t="s">
        <v>1152</v>
      </c>
      <c r="G24" s="771">
        <v>0</v>
      </c>
      <c r="H24" s="1104">
        <f>G24*2</f>
        <v>0</v>
      </c>
      <c r="I24" s="771">
        <v>80</v>
      </c>
      <c r="J24" s="1104">
        <f>I24*2</f>
        <v>160</v>
      </c>
      <c r="K24" s="771">
        <v>0</v>
      </c>
      <c r="L24" s="1104">
        <f>K24*2</f>
        <v>0</v>
      </c>
      <c r="M24" s="771">
        <v>80</v>
      </c>
      <c r="N24" s="1104">
        <f>M24*2</f>
        <v>160</v>
      </c>
      <c r="O24" s="771">
        <v>25</v>
      </c>
      <c r="P24" s="1104">
        <f>O24*2</f>
        <v>50</v>
      </c>
      <c r="Q24" s="771">
        <v>0</v>
      </c>
      <c r="R24" s="1104">
        <f>Q24*2</f>
        <v>0</v>
      </c>
      <c r="S24" s="771">
        <v>0</v>
      </c>
      <c r="T24" s="1104">
        <f>S24*2</f>
        <v>0</v>
      </c>
      <c r="U24" s="771">
        <v>200</v>
      </c>
      <c r="V24" s="1104">
        <f>U24*2</f>
        <v>400</v>
      </c>
      <c r="W24" s="771">
        <v>0</v>
      </c>
      <c r="X24" s="1104">
        <f>W24*2</f>
        <v>0</v>
      </c>
      <c r="Y24" s="771">
        <v>0</v>
      </c>
      <c r="Z24" s="1104">
        <f>Y24*2</f>
        <v>0</v>
      </c>
      <c r="AA24" s="771">
        <v>0</v>
      </c>
      <c r="AB24" s="1104">
        <f>AA24*2</f>
        <v>0</v>
      </c>
      <c r="AC24" s="771">
        <v>130</v>
      </c>
      <c r="AD24" s="1104">
        <f>AC24*2</f>
        <v>260</v>
      </c>
    </row>
    <row r="25" spans="3:30" ht="15.75">
      <c r="C25" s="2150"/>
      <c r="D25" s="1083" t="s">
        <v>1153</v>
      </c>
      <c r="E25" s="1076" t="s">
        <v>1142</v>
      </c>
      <c r="F25" t="s">
        <v>1154</v>
      </c>
      <c r="G25" s="771">
        <v>148</v>
      </c>
      <c r="H25" s="1037">
        <f>G25*16</f>
        <v>2368</v>
      </c>
      <c r="I25" s="771">
        <v>176</v>
      </c>
      <c r="J25" s="1037">
        <f>I25*16</f>
        <v>2816</v>
      </c>
      <c r="K25" s="771">
        <v>118</v>
      </c>
      <c r="L25" s="1037">
        <f>K25*16</f>
        <v>1888</v>
      </c>
      <c r="M25" s="771">
        <v>476</v>
      </c>
      <c r="N25" s="1037">
        <f>M25*16</f>
        <v>7616</v>
      </c>
      <c r="O25" s="771">
        <v>228</v>
      </c>
      <c r="P25" s="1037">
        <f>O25*16</f>
        <v>3648</v>
      </c>
      <c r="Q25" s="771">
        <v>223</v>
      </c>
      <c r="R25" s="1037">
        <f>Q25*16</f>
        <v>3568</v>
      </c>
      <c r="S25" s="771">
        <v>259</v>
      </c>
      <c r="T25" s="1037">
        <f>S25*16</f>
        <v>4144</v>
      </c>
      <c r="U25" s="771">
        <v>208</v>
      </c>
      <c r="V25" s="1037">
        <f>U25*16</f>
        <v>3328</v>
      </c>
      <c r="W25" s="771">
        <v>238</v>
      </c>
      <c r="X25" s="1037">
        <f>W25*16</f>
        <v>3808</v>
      </c>
      <c r="Y25" s="771">
        <v>200</v>
      </c>
      <c r="Z25" s="1037">
        <f>Y25*16</f>
        <v>3200</v>
      </c>
      <c r="AA25" s="771">
        <v>347</v>
      </c>
      <c r="AB25" s="1037">
        <f>AA25*16</f>
        <v>5552</v>
      </c>
      <c r="AC25" s="771">
        <v>228</v>
      </c>
      <c r="AD25" s="1037">
        <f>AC25*16</f>
        <v>3648</v>
      </c>
    </row>
    <row r="26" spans="3:30" ht="15.75">
      <c r="C26" s="2150"/>
      <c r="D26" s="1083" t="s">
        <v>1155</v>
      </c>
      <c r="E26" s="1074" t="s">
        <v>1142</v>
      </c>
      <c r="G26" s="771">
        <v>2</v>
      </c>
      <c r="H26" s="1037">
        <f>G26*16</f>
        <v>32</v>
      </c>
      <c r="I26" s="771">
        <v>4</v>
      </c>
      <c r="J26" s="1037">
        <f>I26*16</f>
        <v>64</v>
      </c>
      <c r="K26" s="771">
        <v>1</v>
      </c>
      <c r="L26" s="1037">
        <f>K26*16</f>
        <v>16</v>
      </c>
      <c r="M26" s="771">
        <v>0</v>
      </c>
      <c r="N26" s="1037">
        <f>M26*16</f>
        <v>0</v>
      </c>
      <c r="O26" s="771">
        <v>2</v>
      </c>
      <c r="P26" s="1037">
        <f>O26*16</f>
        <v>32</v>
      </c>
      <c r="Q26" s="771">
        <v>3</v>
      </c>
      <c r="R26" s="1037">
        <f>Q26*16</f>
        <v>48</v>
      </c>
      <c r="S26" s="771">
        <v>1</v>
      </c>
      <c r="T26" s="1037">
        <f>S26*16</f>
        <v>16</v>
      </c>
      <c r="U26" s="771">
        <v>0</v>
      </c>
      <c r="V26" s="1037">
        <f>U26*16</f>
        <v>0</v>
      </c>
      <c r="W26" s="771">
        <v>0</v>
      </c>
      <c r="X26" s="1037">
        <f>W26*16</f>
        <v>0</v>
      </c>
      <c r="Y26" s="771">
        <v>0</v>
      </c>
      <c r="Z26" s="1037">
        <f>Y26*16</f>
        <v>0</v>
      </c>
      <c r="AA26" s="771">
        <v>0</v>
      </c>
      <c r="AB26" s="1037">
        <f>AA26*16</f>
        <v>0</v>
      </c>
      <c r="AC26" s="771"/>
      <c r="AD26" s="1037">
        <f>AC26*16</f>
        <v>0</v>
      </c>
    </row>
    <row r="27" spans="3:30" ht="15.75">
      <c r="C27" s="2150"/>
      <c r="D27" s="1083" t="s">
        <v>1156</v>
      </c>
      <c r="E27" s="1074" t="s">
        <v>1132</v>
      </c>
      <c r="G27" s="771">
        <v>0</v>
      </c>
      <c r="H27" s="1104">
        <f>G27</f>
        <v>0</v>
      </c>
      <c r="I27" s="771">
        <v>0</v>
      </c>
      <c r="J27" s="1104">
        <f>I27</f>
        <v>0</v>
      </c>
      <c r="K27" s="771">
        <v>0</v>
      </c>
      <c r="L27" s="1104">
        <f>K27</f>
        <v>0</v>
      </c>
      <c r="M27" s="771">
        <v>0</v>
      </c>
      <c r="N27" s="1104">
        <f>M27</f>
        <v>0</v>
      </c>
      <c r="O27" s="771">
        <v>0</v>
      </c>
      <c r="P27" s="1104">
        <f>O27</f>
        <v>0</v>
      </c>
      <c r="Q27" s="771">
        <v>0</v>
      </c>
      <c r="R27" s="1104">
        <f>Q27</f>
        <v>0</v>
      </c>
      <c r="S27" s="771">
        <v>0</v>
      </c>
      <c r="T27" s="1104">
        <f>S27</f>
        <v>0</v>
      </c>
      <c r="U27" s="771">
        <v>0</v>
      </c>
      <c r="V27" s="1104">
        <f>U27</f>
        <v>0</v>
      </c>
      <c r="W27" s="771">
        <v>0</v>
      </c>
      <c r="X27" s="1104">
        <f>W27</f>
        <v>0</v>
      </c>
      <c r="Y27" s="771">
        <v>0</v>
      </c>
      <c r="Z27" s="1104">
        <f>Y27</f>
        <v>0</v>
      </c>
      <c r="AA27" s="771">
        <v>189.1</v>
      </c>
      <c r="AB27" s="1104">
        <f>AA27</f>
        <v>189.1</v>
      </c>
      <c r="AC27" s="771"/>
      <c r="AD27" s="1104">
        <f>AC27</f>
        <v>0</v>
      </c>
    </row>
    <row r="28" spans="3:30" ht="16.5" thickBot="1">
      <c r="C28" s="2150"/>
      <c r="D28" s="1085" t="s">
        <v>1157</v>
      </c>
      <c r="E28" s="1090" t="s">
        <v>1132</v>
      </c>
      <c r="G28" s="771">
        <v>0</v>
      </c>
      <c r="H28" s="1104">
        <f>G28</f>
        <v>0</v>
      </c>
      <c r="I28" s="771">
        <v>0</v>
      </c>
      <c r="J28" s="1104">
        <f>I28</f>
        <v>0</v>
      </c>
      <c r="K28" s="771">
        <v>0</v>
      </c>
      <c r="L28" s="1104">
        <f>K28</f>
        <v>0</v>
      </c>
      <c r="M28" s="771">
        <v>0</v>
      </c>
      <c r="N28" s="1104">
        <f>M28</f>
        <v>0</v>
      </c>
      <c r="O28" s="771">
        <v>0</v>
      </c>
      <c r="P28" s="1104">
        <f>O28</f>
        <v>0</v>
      </c>
      <c r="Q28" s="771">
        <v>0</v>
      </c>
      <c r="R28" s="1104">
        <f>Q28</f>
        <v>0</v>
      </c>
      <c r="S28" s="771">
        <v>0</v>
      </c>
      <c r="T28" s="1104">
        <f>S28</f>
        <v>0</v>
      </c>
      <c r="U28" s="771">
        <v>0</v>
      </c>
      <c r="V28" s="1104">
        <f>U28</f>
        <v>0</v>
      </c>
      <c r="W28" s="771">
        <v>0</v>
      </c>
      <c r="X28" s="1104">
        <f>W28</f>
        <v>0</v>
      </c>
      <c r="Y28" s="771">
        <v>0</v>
      </c>
      <c r="Z28" s="1104">
        <f>Y28</f>
        <v>0</v>
      </c>
      <c r="AA28" s="771">
        <v>0</v>
      </c>
      <c r="AB28" s="1104">
        <f>AA28</f>
        <v>0</v>
      </c>
      <c r="AC28" s="771"/>
      <c r="AD28" s="1104">
        <f>AC28</f>
        <v>0</v>
      </c>
    </row>
    <row r="29" spans="3:30" ht="15.75" customHeight="1">
      <c r="C29" s="2152"/>
      <c r="D29" s="2153" t="s">
        <v>334</v>
      </c>
      <c r="E29" s="1087" t="s">
        <v>224</v>
      </c>
      <c r="G29" s="1105">
        <f>G23+G27+G28</f>
        <v>4011.8</v>
      </c>
      <c r="H29" s="1106">
        <f>SUM(H23:H28)</f>
        <v>6411.8</v>
      </c>
      <c r="I29" s="1105">
        <f>I23+I27+I28</f>
        <v>600</v>
      </c>
      <c r="J29" s="1106">
        <f>SUM(J23:J28)</f>
        <v>3640</v>
      </c>
      <c r="K29" s="1105">
        <f>K23+K27+K28</f>
        <v>0</v>
      </c>
      <c r="L29" s="1106">
        <f>SUM(L23:L28)</f>
        <v>1904</v>
      </c>
      <c r="M29" s="1105">
        <f>M23+M27+M28</f>
        <v>500</v>
      </c>
      <c r="N29" s="1106">
        <f>SUM(N23:N28)</f>
        <v>8276</v>
      </c>
      <c r="O29" s="1105">
        <f>O23+O27+O28</f>
        <v>3000.4</v>
      </c>
      <c r="P29" s="1106">
        <f>SUM(P23:P28)</f>
        <v>6730.4</v>
      </c>
      <c r="Q29" s="1105">
        <f t="shared" ref="Q29" si="22">Q23+Q27+Q28</f>
        <v>0</v>
      </c>
      <c r="R29" s="1106">
        <f>SUM(R23:R28)</f>
        <v>3616</v>
      </c>
      <c r="S29" s="1105">
        <f t="shared" ref="S29" si="23">S23+S27+S28</f>
        <v>0</v>
      </c>
      <c r="T29" s="1106">
        <f>SUM(T23:T28)</f>
        <v>4160</v>
      </c>
      <c r="U29" s="1105">
        <f t="shared" ref="U29" si="24">U23+U27+U28</f>
        <v>0</v>
      </c>
      <c r="V29" s="1106">
        <f>SUM(V23:V28)</f>
        <v>3728</v>
      </c>
      <c r="W29" s="1105">
        <f t="shared" ref="W29" si="25">W23+W27+W28</f>
        <v>0</v>
      </c>
      <c r="X29" s="1106">
        <f>SUM(X23:X28)</f>
        <v>3808</v>
      </c>
      <c r="Y29" s="1105"/>
      <c r="Z29" s="1106">
        <f>SUM(Z23:Z28)</f>
        <v>3200</v>
      </c>
      <c r="AA29" s="1105">
        <f>AA23+AA27+AA28</f>
        <v>4878.8</v>
      </c>
      <c r="AB29" s="1106">
        <f>SUM(AB23:AB28)</f>
        <v>10430.800000000001</v>
      </c>
      <c r="AC29" s="1105">
        <f>AC23+AC27+AC28</f>
        <v>0</v>
      </c>
      <c r="AD29" s="1106">
        <f>SUM(AD23:AD28)</f>
        <v>3908</v>
      </c>
    </row>
    <row r="30" spans="3:30" ht="15.75" customHeight="1" thickBot="1">
      <c r="C30" s="2151"/>
      <c r="D30" s="2154"/>
      <c r="E30" s="1088" t="s">
        <v>1149</v>
      </c>
      <c r="G30" s="1105">
        <f>G24+G25+G26</f>
        <v>150</v>
      </c>
      <c r="H30" s="1104"/>
      <c r="I30" s="1105">
        <f>I24+I25+I26</f>
        <v>260</v>
      </c>
      <c r="J30" s="1104"/>
      <c r="K30" s="1105">
        <f>K24+K25+K26</f>
        <v>119</v>
      </c>
      <c r="L30" s="1104"/>
      <c r="M30" s="1105">
        <f>M24+M25+M26</f>
        <v>556</v>
      </c>
      <c r="N30" s="1104"/>
      <c r="O30" s="1105">
        <f>O24+O25+O26</f>
        <v>255</v>
      </c>
      <c r="P30" s="1104"/>
      <c r="Q30" s="1105">
        <f t="shared" ref="Q30" si="26">Q24+Q25+Q26</f>
        <v>226</v>
      </c>
      <c r="R30" s="1104"/>
      <c r="S30" s="1105">
        <f t="shared" ref="S30" si="27">S24+S25+S26</f>
        <v>260</v>
      </c>
      <c r="T30" s="1104"/>
      <c r="U30" s="1105">
        <f t="shared" ref="U30" si="28">U24+U25+U26</f>
        <v>408</v>
      </c>
      <c r="V30" s="1104"/>
      <c r="W30" s="1105">
        <f t="shared" ref="W30" si="29">W24+W25+W26</f>
        <v>238</v>
      </c>
      <c r="X30" s="1104"/>
      <c r="Y30" s="1105"/>
      <c r="Z30" s="1104"/>
      <c r="AA30" s="1105">
        <f>AA24+AA25+AA26</f>
        <v>347</v>
      </c>
      <c r="AB30" s="1104"/>
      <c r="AC30" s="1105">
        <f>AC24+AC25+AC26</f>
        <v>358</v>
      </c>
      <c r="AD30" s="1104"/>
    </row>
    <row r="31" spans="3:30" ht="15" customHeight="1">
      <c r="C31" s="2149" t="s">
        <v>478</v>
      </c>
      <c r="D31" s="1081" t="s">
        <v>1158</v>
      </c>
      <c r="E31" s="1082" t="s">
        <v>1132</v>
      </c>
      <c r="G31" s="771">
        <v>8853.2999999999993</v>
      </c>
      <c r="H31" s="1108">
        <f>G31</f>
        <v>8853.2999999999993</v>
      </c>
      <c r="I31" s="771">
        <v>9500</v>
      </c>
      <c r="J31" s="1108">
        <f>I31</f>
        <v>9500</v>
      </c>
      <c r="K31" s="771">
        <v>7998.3</v>
      </c>
      <c r="L31" s="1108">
        <f>K31</f>
        <v>7998.3</v>
      </c>
      <c r="M31" s="771">
        <v>8001</v>
      </c>
      <c r="N31" s="1108">
        <f>M31</f>
        <v>8001</v>
      </c>
      <c r="O31" s="771">
        <v>8994.6</v>
      </c>
      <c r="P31" s="1108">
        <f>O31</f>
        <v>8994.6</v>
      </c>
      <c r="Q31" s="771">
        <v>17992</v>
      </c>
      <c r="R31" s="1108">
        <f>Q31</f>
        <v>17992</v>
      </c>
      <c r="S31" s="771">
        <v>9100.1</v>
      </c>
      <c r="T31" s="1108">
        <f>S31</f>
        <v>9100.1</v>
      </c>
      <c r="U31" s="771">
        <v>18013.599999999999</v>
      </c>
      <c r="V31" s="1108">
        <f>U31</f>
        <v>18013.599999999999</v>
      </c>
      <c r="W31" s="771">
        <v>9423.1</v>
      </c>
      <c r="X31" s="1108">
        <f>W31</f>
        <v>9423.1</v>
      </c>
      <c r="Y31" s="771">
        <v>9971.4</v>
      </c>
      <c r="Z31" s="1108">
        <f>Y31</f>
        <v>9971.4</v>
      </c>
      <c r="AA31" s="771">
        <v>9985.7000000000007</v>
      </c>
      <c r="AB31" s="1108">
        <f>AA31</f>
        <v>9985.7000000000007</v>
      </c>
      <c r="AC31" s="771">
        <v>14985.3</v>
      </c>
      <c r="AD31" s="1108">
        <f>AC31</f>
        <v>14985.3</v>
      </c>
    </row>
    <row r="32" spans="3:30" ht="15" customHeight="1">
      <c r="C32" s="2150"/>
      <c r="D32" s="1083" t="s">
        <v>1159</v>
      </c>
      <c r="E32" s="1084" t="s">
        <v>1132</v>
      </c>
      <c r="G32" s="771">
        <v>0</v>
      </c>
      <c r="H32" s="1104">
        <f>G32</f>
        <v>0</v>
      </c>
      <c r="I32" s="771">
        <v>0</v>
      </c>
      <c r="J32" s="1104">
        <f>I32</f>
        <v>0</v>
      </c>
      <c r="K32" s="771">
        <v>0</v>
      </c>
      <c r="L32" s="1104">
        <f>K32</f>
        <v>0</v>
      </c>
      <c r="M32" s="771">
        <v>0</v>
      </c>
      <c r="N32" s="1104">
        <f>M32</f>
        <v>0</v>
      </c>
      <c r="O32" s="771">
        <v>0</v>
      </c>
      <c r="P32" s="1104">
        <f>O32</f>
        <v>0</v>
      </c>
      <c r="Q32" s="771">
        <v>0</v>
      </c>
      <c r="R32" s="1104">
        <f>Q32</f>
        <v>0</v>
      </c>
      <c r="S32" s="771">
        <v>0</v>
      </c>
      <c r="T32" s="1104">
        <f>S32</f>
        <v>0</v>
      </c>
      <c r="U32" s="771">
        <v>0</v>
      </c>
      <c r="V32" s="1104">
        <f>U32</f>
        <v>0</v>
      </c>
      <c r="W32" s="771">
        <v>13991.1</v>
      </c>
      <c r="X32" s="1104">
        <f>W32</f>
        <v>13991.1</v>
      </c>
      <c r="Y32" s="771">
        <v>24993.1</v>
      </c>
      <c r="Z32" s="1104">
        <f>Y32</f>
        <v>24993.1</v>
      </c>
      <c r="AA32" s="771">
        <v>0</v>
      </c>
      <c r="AB32" s="1104">
        <f>AA32</f>
        <v>0</v>
      </c>
      <c r="AC32" s="771"/>
      <c r="AD32" s="1104">
        <f>AC32</f>
        <v>0</v>
      </c>
    </row>
    <row r="33" spans="1:30" ht="15" customHeight="1" thickBot="1">
      <c r="C33" s="2150"/>
      <c r="D33" s="1085" t="s">
        <v>1160</v>
      </c>
      <c r="E33" s="1086" t="s">
        <v>1132</v>
      </c>
      <c r="G33" s="771">
        <v>0</v>
      </c>
      <c r="H33" s="1104">
        <f>G33</f>
        <v>0</v>
      </c>
      <c r="I33" s="771">
        <v>0</v>
      </c>
      <c r="J33" s="1104">
        <f>I33</f>
        <v>0</v>
      </c>
      <c r="K33" s="771">
        <v>0</v>
      </c>
      <c r="L33" s="1104">
        <f>K33</f>
        <v>0</v>
      </c>
      <c r="M33" s="771">
        <v>0</v>
      </c>
      <c r="N33" s="1104">
        <f>M33</f>
        <v>0</v>
      </c>
      <c r="O33" s="771">
        <v>0</v>
      </c>
      <c r="P33" s="1104">
        <f>O33</f>
        <v>0</v>
      </c>
      <c r="Q33" s="771">
        <v>0</v>
      </c>
      <c r="R33" s="1104">
        <f>Q33</f>
        <v>0</v>
      </c>
      <c r="S33" s="771">
        <v>0</v>
      </c>
      <c r="T33" s="1104">
        <f>S33</f>
        <v>0</v>
      </c>
      <c r="U33" s="771">
        <v>0</v>
      </c>
      <c r="V33" s="1104">
        <f>U33</f>
        <v>0</v>
      </c>
      <c r="W33" s="771">
        <v>6489.6</v>
      </c>
      <c r="X33" s="1104">
        <f>W33</f>
        <v>6489.6</v>
      </c>
      <c r="Y33" s="771"/>
      <c r="Z33" s="1104">
        <f>Y33</f>
        <v>0</v>
      </c>
      <c r="AA33" s="771">
        <v>0</v>
      </c>
      <c r="AB33" s="1104">
        <f>AA33</f>
        <v>0</v>
      </c>
      <c r="AC33" s="771"/>
      <c r="AD33" s="1104">
        <f>AC33</f>
        <v>0</v>
      </c>
    </row>
    <row r="34" spans="1:30" ht="15" customHeight="1" thickBot="1">
      <c r="C34" s="2151"/>
      <c r="D34" s="1091" t="s">
        <v>334</v>
      </c>
      <c r="E34" s="1092" t="s">
        <v>224</v>
      </c>
      <c r="G34" s="1105">
        <f>G31+G32+G33</f>
        <v>8853.2999999999993</v>
      </c>
      <c r="H34" s="1106">
        <f>SUM(H31:H33)</f>
        <v>8853.2999999999993</v>
      </c>
      <c r="I34" s="1105">
        <f>I31+I32+I33</f>
        <v>9500</v>
      </c>
      <c r="J34" s="1106">
        <f>SUM(J31:J33)</f>
        <v>9500</v>
      </c>
      <c r="K34" s="1105">
        <f>K31+K32+K33</f>
        <v>7998.3</v>
      </c>
      <c r="L34" s="1106">
        <f>SUM(L31:L33)</f>
        <v>7998.3</v>
      </c>
      <c r="M34" s="1105">
        <f>M31+M32+M33</f>
        <v>8001</v>
      </c>
      <c r="N34" s="1106">
        <f>SUM(N31:N33)</f>
        <v>8001</v>
      </c>
      <c r="O34" s="1105">
        <f>O31+O32+O33</f>
        <v>8994.6</v>
      </c>
      <c r="P34" s="1106">
        <f>SUM(P31:P33)</f>
        <v>8994.6</v>
      </c>
      <c r="Q34" s="1105">
        <f t="shared" ref="Q34" si="30">Q31+Q32+Q33</f>
        <v>17992</v>
      </c>
      <c r="R34" s="1106">
        <f>SUM(R31:R33)</f>
        <v>17992</v>
      </c>
      <c r="S34" s="1105">
        <f t="shared" ref="S34" si="31">S31+S32+S33</f>
        <v>9100.1</v>
      </c>
      <c r="T34" s="1106">
        <f>SUM(T31:T33)</f>
        <v>9100.1</v>
      </c>
      <c r="U34" s="1105">
        <f t="shared" ref="U34" si="32">U31+U32+U33</f>
        <v>18013.599999999999</v>
      </c>
      <c r="V34" s="1106">
        <f>SUM(V31:V33)</f>
        <v>18013.599999999999</v>
      </c>
      <c r="W34" s="1105">
        <f t="shared" ref="W34" si="33">W31+W32+W33</f>
        <v>29903.800000000003</v>
      </c>
      <c r="X34" s="1106">
        <f>SUM(X31:X33)</f>
        <v>29903.800000000003</v>
      </c>
      <c r="Y34" s="1105"/>
      <c r="Z34" s="1106">
        <f>SUM(Z31:Z33)</f>
        <v>34964.5</v>
      </c>
      <c r="AA34" s="1105">
        <f>AA31+AA32+AA33</f>
        <v>9985.7000000000007</v>
      </c>
      <c r="AB34" s="1106">
        <f>SUM(AB31:AB33)</f>
        <v>9985.7000000000007</v>
      </c>
      <c r="AC34" s="1105">
        <f>AC31+AC32+AC33</f>
        <v>14985.3</v>
      </c>
      <c r="AD34" s="1106">
        <f>SUM(AD31:AD33)</f>
        <v>14985.3</v>
      </c>
    </row>
    <row r="35" spans="1:30" ht="16.5" thickBot="1">
      <c r="C35" s="1181" t="s">
        <v>479</v>
      </c>
      <c r="D35" s="1093" t="s">
        <v>1161</v>
      </c>
      <c r="E35" s="1094" t="s">
        <v>1132</v>
      </c>
      <c r="G35" s="771">
        <v>0</v>
      </c>
      <c r="H35" s="1106">
        <f>G35</f>
        <v>0</v>
      </c>
      <c r="I35" s="771">
        <v>2199.6</v>
      </c>
      <c r="J35" s="1106">
        <f>I35</f>
        <v>2199.6</v>
      </c>
      <c r="K35" s="771">
        <v>1800</v>
      </c>
      <c r="L35" s="1106">
        <f>K35</f>
        <v>1800</v>
      </c>
      <c r="M35" s="771">
        <v>1400</v>
      </c>
      <c r="N35" s="1106">
        <f>M35</f>
        <v>1400</v>
      </c>
      <c r="O35" s="771">
        <v>2200</v>
      </c>
      <c r="P35" s="1106">
        <f>O35</f>
        <v>2200</v>
      </c>
      <c r="Q35" s="771">
        <v>2496</v>
      </c>
      <c r="R35" s="1106">
        <f>Q35</f>
        <v>2496</v>
      </c>
      <c r="S35" s="771">
        <v>2400</v>
      </c>
      <c r="T35" s="1106">
        <f>S35</f>
        <v>2400</v>
      </c>
      <c r="U35" s="771">
        <v>2499.1999999999998</v>
      </c>
      <c r="V35" s="1106">
        <f>U35</f>
        <v>2499.1999999999998</v>
      </c>
      <c r="W35" s="771">
        <v>0</v>
      </c>
      <c r="X35" s="1106">
        <f>W35</f>
        <v>0</v>
      </c>
      <c r="Y35" s="771"/>
      <c r="Z35" s="1106">
        <f>Y35</f>
        <v>0</v>
      </c>
      <c r="AA35" s="771">
        <v>2695.45</v>
      </c>
      <c r="AB35" s="1106">
        <f>AA35</f>
        <v>2695.45</v>
      </c>
      <c r="AC35" s="771">
        <v>2986</v>
      </c>
      <c r="AD35" s="1106">
        <f>AC35</f>
        <v>2986</v>
      </c>
    </row>
    <row r="36" spans="1:30" ht="15.75">
      <c r="C36" s="1182" t="s">
        <v>1162</v>
      </c>
      <c r="D36" s="1095" t="s">
        <v>236</v>
      </c>
      <c r="E36" s="1089" t="s">
        <v>1132</v>
      </c>
      <c r="G36" s="771">
        <v>0</v>
      </c>
      <c r="H36" s="1104">
        <f>G36</f>
        <v>0</v>
      </c>
      <c r="I36" s="771">
        <v>0</v>
      </c>
      <c r="J36" s="1104">
        <f>I36</f>
        <v>0</v>
      </c>
      <c r="K36" s="771">
        <v>0</v>
      </c>
      <c r="L36" s="1104">
        <f>K36</f>
        <v>0</v>
      </c>
      <c r="M36" s="771">
        <v>0</v>
      </c>
      <c r="N36" s="1104">
        <f>M36</f>
        <v>0</v>
      </c>
      <c r="O36" s="771">
        <v>0</v>
      </c>
      <c r="P36" s="1104">
        <f>O36</f>
        <v>0</v>
      </c>
      <c r="Q36" s="771">
        <v>0</v>
      </c>
      <c r="R36" s="1104">
        <f>Q36</f>
        <v>0</v>
      </c>
      <c r="S36" s="771">
        <v>0</v>
      </c>
      <c r="T36" s="1104">
        <f>S36</f>
        <v>0</v>
      </c>
      <c r="U36" s="771">
        <v>0</v>
      </c>
      <c r="V36" s="1104">
        <f>U36</f>
        <v>0</v>
      </c>
      <c r="W36" s="771">
        <v>0</v>
      </c>
      <c r="X36" s="1104">
        <f>W36</f>
        <v>0</v>
      </c>
      <c r="Y36" s="771"/>
      <c r="Z36" s="1104">
        <f>Y36</f>
        <v>0</v>
      </c>
      <c r="AA36" s="771">
        <v>0</v>
      </c>
      <c r="AB36" s="1104">
        <f>AA36</f>
        <v>0</v>
      </c>
      <c r="AC36" s="771">
        <v>0</v>
      </c>
      <c r="AD36" s="1104">
        <f>AC36</f>
        <v>0</v>
      </c>
    </row>
    <row r="37" spans="1:30" ht="16.5" thickBot="1">
      <c r="C37" s="2146" t="s">
        <v>1163</v>
      </c>
      <c r="D37" s="1077" t="s">
        <v>1164</v>
      </c>
      <c r="E37" s="1096" t="s">
        <v>1165</v>
      </c>
      <c r="G37" s="771">
        <f>3*3000</f>
        <v>9000</v>
      </c>
      <c r="H37" s="1107">
        <f>G37</f>
        <v>9000</v>
      </c>
      <c r="I37" s="771">
        <f>3*3000</f>
        <v>9000</v>
      </c>
      <c r="J37" s="1107">
        <f>I37</f>
        <v>9000</v>
      </c>
      <c r="K37" s="771">
        <v>12528</v>
      </c>
      <c r="L37" s="1107">
        <f>K37</f>
        <v>12528</v>
      </c>
      <c r="M37" s="771">
        <v>17030</v>
      </c>
      <c r="N37" s="1107">
        <f>M37</f>
        <v>17030</v>
      </c>
      <c r="O37" s="771">
        <v>13882</v>
      </c>
      <c r="P37" s="1107">
        <f>O37</f>
        <v>13882</v>
      </c>
      <c r="Q37" s="771">
        <v>24850</v>
      </c>
      <c r="R37" s="1107">
        <f>Q37</f>
        <v>24850</v>
      </c>
      <c r="S37" s="771">
        <v>22966</v>
      </c>
      <c r="T37" s="1107">
        <f>S37</f>
        <v>22966</v>
      </c>
      <c r="U37" s="771">
        <v>22606</v>
      </c>
      <c r="V37" s="1107">
        <f>U37</f>
        <v>22606</v>
      </c>
      <c r="W37" s="771">
        <v>13782</v>
      </c>
      <c r="X37" s="1107">
        <f>W37</f>
        <v>13782</v>
      </c>
      <c r="Y37" s="771">
        <v>15542</v>
      </c>
      <c r="Z37" s="1107">
        <f>Y37</f>
        <v>15542</v>
      </c>
      <c r="AA37" s="771">
        <v>13670</v>
      </c>
      <c r="AB37" s="1107">
        <f>AA37</f>
        <v>13670</v>
      </c>
      <c r="AC37" s="771">
        <f>16264+14268</f>
        <v>30532</v>
      </c>
      <c r="AD37" s="1107">
        <f>AC37</f>
        <v>30532</v>
      </c>
    </row>
    <row r="38" spans="1:30" ht="16.5" thickBot="1">
      <c r="C38" s="2147"/>
      <c r="D38" s="1079" t="s">
        <v>334</v>
      </c>
      <c r="E38" s="1097" t="s">
        <v>1166</v>
      </c>
      <c r="G38" s="1109">
        <v>0</v>
      </c>
      <c r="H38" s="1104"/>
      <c r="I38" s="1109">
        <v>0</v>
      </c>
      <c r="J38" s="1104"/>
      <c r="K38" s="1109">
        <v>0</v>
      </c>
      <c r="L38" s="1104"/>
      <c r="M38" s="1109">
        <v>0</v>
      </c>
      <c r="N38" s="1104"/>
      <c r="O38" s="1109">
        <v>0</v>
      </c>
      <c r="P38" s="1104"/>
      <c r="Q38" s="1109">
        <v>0</v>
      </c>
      <c r="R38" s="1104"/>
      <c r="S38" s="1109">
        <v>0</v>
      </c>
      <c r="T38" s="1104"/>
      <c r="U38" s="1109">
        <v>0</v>
      </c>
      <c r="V38" s="1104"/>
      <c r="W38" s="1109">
        <v>0</v>
      </c>
      <c r="X38" s="1104"/>
      <c r="Y38" s="1109"/>
      <c r="Z38" s="1104"/>
      <c r="AA38" s="1109">
        <v>0</v>
      </c>
      <c r="AB38" s="1104"/>
      <c r="AC38" s="1109">
        <v>0</v>
      </c>
      <c r="AD38" s="1104"/>
    </row>
    <row r="39" spans="1:30" ht="15.75">
      <c r="C39" s="1183" t="s">
        <v>462</v>
      </c>
      <c r="D39" s="1098" t="s">
        <v>1167</v>
      </c>
      <c r="E39" s="1099" t="s">
        <v>1167</v>
      </c>
      <c r="G39" s="1109">
        <v>0</v>
      </c>
      <c r="H39" s="1104"/>
      <c r="I39" s="1109">
        <v>0</v>
      </c>
      <c r="J39" s="1104"/>
      <c r="K39" s="1109">
        <v>0</v>
      </c>
      <c r="L39" s="1104"/>
      <c r="M39" s="1109">
        <v>0</v>
      </c>
      <c r="N39" s="1104"/>
      <c r="O39" s="1109">
        <v>0</v>
      </c>
      <c r="P39" s="1104"/>
      <c r="Q39" s="1109">
        <v>0</v>
      </c>
      <c r="R39" s="1104"/>
      <c r="S39" s="1109">
        <v>0</v>
      </c>
      <c r="T39" s="1104"/>
      <c r="U39" s="1109">
        <v>0</v>
      </c>
      <c r="V39" s="1104"/>
      <c r="W39" s="1109">
        <v>0</v>
      </c>
      <c r="X39" s="1104"/>
      <c r="Y39" s="1109"/>
      <c r="Z39" s="1104"/>
      <c r="AA39" s="1109">
        <v>0</v>
      </c>
      <c r="AB39" s="1104"/>
      <c r="AC39" s="1109">
        <v>0</v>
      </c>
      <c r="AD39" s="1104"/>
    </row>
    <row r="40" spans="1:30" ht="16.5" thickBot="1">
      <c r="C40" s="1183" t="s">
        <v>1168</v>
      </c>
      <c r="D40" s="957" t="s">
        <v>1167</v>
      </c>
      <c r="E40" s="1100" t="s">
        <v>1167</v>
      </c>
      <c r="G40" s="1110">
        <v>0</v>
      </c>
      <c r="H40" s="1111"/>
      <c r="I40" s="1110">
        <v>0</v>
      </c>
      <c r="J40" s="1111"/>
      <c r="K40" s="1110">
        <v>0</v>
      </c>
      <c r="L40" s="1111"/>
      <c r="M40" s="1110">
        <v>0</v>
      </c>
      <c r="N40" s="1111"/>
      <c r="O40" s="1110">
        <v>0</v>
      </c>
      <c r="P40" s="1111"/>
      <c r="Q40" s="1110">
        <v>0</v>
      </c>
      <c r="R40" s="1111"/>
      <c r="S40" s="1110">
        <v>0</v>
      </c>
      <c r="T40" s="1111"/>
      <c r="U40" s="1110">
        <v>0</v>
      </c>
      <c r="V40" s="1111"/>
      <c r="W40" s="1110">
        <v>0</v>
      </c>
      <c r="X40" s="1111"/>
      <c r="Y40" s="1110"/>
      <c r="Z40" s="1111"/>
      <c r="AA40" s="1110">
        <v>0</v>
      </c>
      <c r="AB40" s="1111"/>
      <c r="AC40" s="1110">
        <v>0</v>
      </c>
      <c r="AD40" s="1111"/>
    </row>
    <row r="41" spans="1:30">
      <c r="C41" s="1184"/>
      <c r="H41" s="1185">
        <f>H37+H34+H29+H21+H35+H7</f>
        <v>35284.6</v>
      </c>
      <c r="J41" s="1185">
        <f>J37+J34+J29+J21+J35+J7</f>
        <v>30976.400000000001</v>
      </c>
      <c r="K41" s="1185"/>
      <c r="L41" s="1185">
        <f>L37+L34+L29+L21+L35+L7</f>
        <v>34557.799999999996</v>
      </c>
      <c r="M41" s="1185"/>
      <c r="N41" s="1185">
        <f>N37+N34+N29+N21+N35+N7</f>
        <v>46372.800000000003</v>
      </c>
      <c r="P41" s="1185">
        <f>P37+P34+P29+P21+P35+P7</f>
        <v>40720.9</v>
      </c>
      <c r="R41" s="1185">
        <f>R37+R34+R29+R21+R35+R7</f>
        <v>55546.1</v>
      </c>
      <c r="T41" s="1185">
        <f>T37+T34+T29+T21+T35+T7</f>
        <v>44323.6</v>
      </c>
      <c r="V41" s="1185">
        <f>V37+V34+V29+V21+V35+V7</f>
        <v>53831.199999999997</v>
      </c>
      <c r="X41" s="1185">
        <f>X37+X34+X29+X21+X35+X7</f>
        <v>51484.800000000003</v>
      </c>
      <c r="Z41" s="1185">
        <f>Z37+Z34+Z29+Z21+Z35+Z7</f>
        <v>58232.2</v>
      </c>
      <c r="AB41" s="1185">
        <f>AB37+AB34+AB29+AB21+AB35+AB7</f>
        <v>36881.949999999997</v>
      </c>
      <c r="AD41" s="1186">
        <f>AD37+AD34+AD29+AD21+AD35+AD7</f>
        <v>57759.8</v>
      </c>
    </row>
    <row r="42" spans="1:30">
      <c r="C42" s="1184"/>
      <c r="J42"/>
      <c r="AD42" s="1062"/>
    </row>
    <row r="43" spans="1:30" ht="15.75" thickBot="1">
      <c r="C43" s="1187"/>
      <c r="D43" s="1188"/>
      <c r="E43" s="1069"/>
      <c r="F43" s="1069"/>
      <c r="G43" s="1069"/>
      <c r="H43" s="1189">
        <f>H41/1000</f>
        <v>35.284599999999998</v>
      </c>
      <c r="I43" s="1069"/>
      <c r="J43" s="1189">
        <f>J41/1000</f>
        <v>30.976400000000002</v>
      </c>
      <c r="K43" s="1069"/>
      <c r="L43" s="1189">
        <f>L41/1000</f>
        <v>34.557799999999993</v>
      </c>
      <c r="M43" s="1069"/>
      <c r="N43" s="1189">
        <f>N41/1000</f>
        <v>46.372800000000005</v>
      </c>
      <c r="O43" s="1069"/>
      <c r="P43" s="1189">
        <f>P41/1000</f>
        <v>40.7209</v>
      </c>
      <c r="Q43" s="1069"/>
      <c r="R43" s="1189">
        <f>R41/1000</f>
        <v>55.546099999999996</v>
      </c>
      <c r="S43" s="1069"/>
      <c r="T43" s="1189">
        <f>T41/1000</f>
        <v>44.323599999999999</v>
      </c>
      <c r="U43" s="1069"/>
      <c r="V43" s="1189">
        <f>V41/1000</f>
        <v>53.831199999999995</v>
      </c>
      <c r="W43" s="1069"/>
      <c r="X43" s="1189">
        <f>X41/1000</f>
        <v>51.4848</v>
      </c>
      <c r="Y43" s="1069"/>
      <c r="Z43" s="1189">
        <f>Z41/1000</f>
        <v>58.232199999999999</v>
      </c>
      <c r="AA43" s="1069"/>
      <c r="AB43" s="1189">
        <f>AB41/1000</f>
        <v>36.881949999999996</v>
      </c>
      <c r="AC43" s="1069"/>
      <c r="AD43" s="1190">
        <f>AD41/1000</f>
        <v>57.759800000000006</v>
      </c>
    </row>
    <row r="46" spans="1:30" ht="15.75" thickBot="1">
      <c r="A46" s="1695" t="s">
        <v>1169</v>
      </c>
      <c r="C46" s="2148"/>
      <c r="D46" s="2148"/>
      <c r="E46" s="2148"/>
    </row>
    <row r="47" spans="1:30" ht="15.75">
      <c r="A47" s="880" t="s">
        <v>338</v>
      </c>
      <c r="C47" s="1179" t="s">
        <v>1124</v>
      </c>
      <c r="D47" s="1180" t="s">
        <v>1125</v>
      </c>
      <c r="E47" s="1180" t="s">
        <v>277</v>
      </c>
      <c r="F47" s="1058"/>
      <c r="G47" s="1103" t="s">
        <v>278</v>
      </c>
      <c r="H47" s="1112" t="s">
        <v>1126</v>
      </c>
      <c r="I47" s="1103" t="s">
        <v>279</v>
      </c>
      <c r="J47" s="1112" t="s">
        <v>1126</v>
      </c>
      <c r="K47" s="1103" t="s">
        <v>129</v>
      </c>
      <c r="L47" s="1112" t="s">
        <v>1126</v>
      </c>
      <c r="M47" s="1103" t="s">
        <v>130</v>
      </c>
      <c r="N47" s="1112" t="s">
        <v>1126</v>
      </c>
      <c r="O47" s="1103" t="s">
        <v>132</v>
      </c>
      <c r="P47" s="1112" t="s">
        <v>1126</v>
      </c>
      <c r="Q47" s="1103" t="s">
        <v>134</v>
      </c>
      <c r="R47" s="1112" t="s">
        <v>1126</v>
      </c>
      <c r="S47" s="1103" t="s">
        <v>136</v>
      </c>
      <c r="T47" s="1112" t="s">
        <v>1126</v>
      </c>
      <c r="U47" s="1103" t="s">
        <v>284</v>
      </c>
      <c r="V47" s="1112" t="s">
        <v>1126</v>
      </c>
      <c r="W47" s="1103" t="s">
        <v>1113</v>
      </c>
      <c r="X47" s="1112" t="s">
        <v>1126</v>
      </c>
      <c r="Y47" s="1103" t="s">
        <v>286</v>
      </c>
      <c r="Z47" s="1112" t="s">
        <v>1126</v>
      </c>
      <c r="AA47" s="1103" t="s">
        <v>287</v>
      </c>
      <c r="AB47" s="1112" t="s">
        <v>1126</v>
      </c>
      <c r="AC47" s="1103" t="s">
        <v>288</v>
      </c>
      <c r="AD47" s="1112" t="s">
        <v>1126</v>
      </c>
    </row>
    <row r="48" spans="1:30" ht="15.75">
      <c r="A48" t="s">
        <v>770</v>
      </c>
      <c r="C48" s="2149" t="s">
        <v>476</v>
      </c>
      <c r="D48" s="1073" t="s">
        <v>1127</v>
      </c>
      <c r="E48" s="1074" t="s">
        <v>1128</v>
      </c>
      <c r="G48" s="1819">
        <v>2053.9</v>
      </c>
      <c r="H48" s="1037">
        <f>G48</f>
        <v>2053.9</v>
      </c>
      <c r="I48" s="771"/>
      <c r="J48" s="1037">
        <f>I48</f>
        <v>0</v>
      </c>
      <c r="K48" s="771"/>
      <c r="L48" s="1037">
        <f>K48</f>
        <v>0</v>
      </c>
      <c r="M48" s="771"/>
      <c r="N48" s="1037">
        <f>M48</f>
        <v>0</v>
      </c>
      <c r="O48" s="771"/>
      <c r="P48" s="1037">
        <f>O48</f>
        <v>0</v>
      </c>
      <c r="Q48" s="771"/>
      <c r="R48" s="1037">
        <f>Q48</f>
        <v>0</v>
      </c>
      <c r="S48" s="771"/>
      <c r="T48" s="1037">
        <f>S48</f>
        <v>0</v>
      </c>
      <c r="U48" s="771"/>
      <c r="V48" s="1037">
        <f>U48</f>
        <v>0</v>
      </c>
      <c r="W48" s="771"/>
      <c r="X48" s="1037">
        <f>W48</f>
        <v>0</v>
      </c>
      <c r="Y48" s="771"/>
      <c r="Z48" s="1037">
        <f>Y48</f>
        <v>0</v>
      </c>
      <c r="AA48" s="771"/>
      <c r="AB48" s="1037">
        <f>AA48</f>
        <v>0</v>
      </c>
      <c r="AC48" s="771"/>
      <c r="AD48" s="1037">
        <f>AC48</f>
        <v>0</v>
      </c>
    </row>
    <row r="49" spans="3:30" ht="15.75">
      <c r="C49" s="2150"/>
      <c r="D49" s="1075" t="s">
        <v>1129</v>
      </c>
      <c r="E49" s="1076" t="s">
        <v>1128</v>
      </c>
      <c r="G49" s="1819">
        <v>1993.6</v>
      </c>
      <c r="H49" s="1104">
        <f>G49</f>
        <v>1993.6</v>
      </c>
      <c r="I49" s="771"/>
      <c r="J49" s="1104">
        <f>I49</f>
        <v>0</v>
      </c>
      <c r="K49" s="771"/>
      <c r="L49" s="1104">
        <f>K49</f>
        <v>0</v>
      </c>
      <c r="M49" s="771"/>
      <c r="N49" s="1104">
        <f>M49</f>
        <v>0</v>
      </c>
      <c r="O49" s="771"/>
      <c r="P49" s="1104">
        <f>O49</f>
        <v>0</v>
      </c>
      <c r="Q49" s="771"/>
      <c r="R49" s="1104">
        <f>Q49</f>
        <v>0</v>
      </c>
      <c r="S49" s="771"/>
      <c r="T49" s="1104">
        <f>S49</f>
        <v>0</v>
      </c>
      <c r="U49" s="771"/>
      <c r="V49" s="1104">
        <f>U49</f>
        <v>0</v>
      </c>
      <c r="W49" s="771"/>
      <c r="X49" s="1104">
        <f>W49</f>
        <v>0</v>
      </c>
      <c r="Y49" s="771"/>
      <c r="Z49" s="1104">
        <f>Y49</f>
        <v>0</v>
      </c>
      <c r="AA49" s="771"/>
      <c r="AB49" s="1104">
        <f>AA49</f>
        <v>0</v>
      </c>
      <c r="AC49" s="771"/>
      <c r="AD49" s="1104">
        <f>AC49</f>
        <v>0</v>
      </c>
    </row>
    <row r="50" spans="3:30" ht="15.75">
      <c r="C50" s="2150"/>
      <c r="D50" s="1077" t="s">
        <v>1130</v>
      </c>
      <c r="E50" s="1078" t="s">
        <v>1128</v>
      </c>
      <c r="G50" s="1819">
        <v>490.2</v>
      </c>
      <c r="H50" s="1104">
        <f>G50</f>
        <v>490.2</v>
      </c>
      <c r="I50" s="771"/>
      <c r="J50" s="1104">
        <f>I50</f>
        <v>0</v>
      </c>
      <c r="K50" s="771"/>
      <c r="L50" s="1104">
        <f>K50</f>
        <v>0</v>
      </c>
      <c r="M50" s="771"/>
      <c r="N50" s="1104">
        <f>M50</f>
        <v>0</v>
      </c>
      <c r="O50" s="771"/>
      <c r="P50" s="1104">
        <f>O50</f>
        <v>0</v>
      </c>
      <c r="Q50" s="771"/>
      <c r="R50" s="1104">
        <f>Q50</f>
        <v>0</v>
      </c>
      <c r="S50" s="771"/>
      <c r="T50" s="1104">
        <f>S50</f>
        <v>0</v>
      </c>
      <c r="U50" s="771"/>
      <c r="V50" s="1104">
        <f>U50</f>
        <v>0</v>
      </c>
      <c r="W50" s="771"/>
      <c r="X50" s="1104">
        <f>W50</f>
        <v>0</v>
      </c>
      <c r="Y50" s="771"/>
      <c r="Z50" s="1104">
        <f>Y50</f>
        <v>0</v>
      </c>
      <c r="AA50" s="771"/>
      <c r="AB50" s="1104">
        <f>AA50</f>
        <v>0</v>
      </c>
      <c r="AC50" s="771"/>
      <c r="AD50" s="1104">
        <f>AC50</f>
        <v>0</v>
      </c>
    </row>
    <row r="51" spans="3:30" ht="15.75">
      <c r="C51" s="2151"/>
      <c r="D51" s="1079" t="s">
        <v>334</v>
      </c>
      <c r="E51" s="1080" t="s">
        <v>224</v>
      </c>
      <c r="G51" s="1820">
        <v>4537.7</v>
      </c>
      <c r="H51" s="1106">
        <f>H48+H49+H50</f>
        <v>4537.7</v>
      </c>
      <c r="I51" s="1105">
        <f>SUM(I48:I50)</f>
        <v>0</v>
      </c>
      <c r="J51" s="1106">
        <f>J48+J49+J50</f>
        <v>0</v>
      </c>
      <c r="K51" s="1105">
        <f>SUM(K48:K50)</f>
        <v>0</v>
      </c>
      <c r="L51" s="1106">
        <f>L48+L49+L50</f>
        <v>0</v>
      </c>
      <c r="M51" s="1105">
        <f>SUM(M48:M50)</f>
        <v>0</v>
      </c>
      <c r="N51" s="1106">
        <f>N48+N49+N50</f>
        <v>0</v>
      </c>
      <c r="O51" s="1105">
        <f t="shared" ref="O51:S51" si="34">SUM(O48:O50)</f>
        <v>0</v>
      </c>
      <c r="P51" s="1106">
        <f>P48+P49+P50</f>
        <v>0</v>
      </c>
      <c r="Q51" s="1105">
        <f t="shared" si="34"/>
        <v>0</v>
      </c>
      <c r="R51" s="1106">
        <f>R48+R49+R50</f>
        <v>0</v>
      </c>
      <c r="S51" s="1105">
        <f t="shared" si="34"/>
        <v>0</v>
      </c>
      <c r="T51" s="1106">
        <f>T48+T49+T50</f>
        <v>0</v>
      </c>
      <c r="U51" s="1105">
        <f t="shared" ref="U51" si="35">SUM(U48:U50)</f>
        <v>0</v>
      </c>
      <c r="V51" s="1106">
        <f>V48+V49+V50</f>
        <v>0</v>
      </c>
      <c r="W51" s="1105">
        <f>SUM(W48:W50)</f>
        <v>0</v>
      </c>
      <c r="X51" s="1106">
        <f>X48+X49+X50</f>
        <v>0</v>
      </c>
      <c r="Y51" s="1105"/>
      <c r="Z51" s="1106">
        <f>Z48+Z49+Z50</f>
        <v>0</v>
      </c>
      <c r="AA51" s="1105">
        <f>SUM(AA48:AA50)</f>
        <v>0</v>
      </c>
      <c r="AB51" s="1106">
        <f>AB48+AB49+AB50</f>
        <v>0</v>
      </c>
      <c r="AC51" s="1105">
        <f>SUM(AC48:AC50)</f>
        <v>0</v>
      </c>
      <c r="AD51" s="1106">
        <f>AD48+AD49+AD50</f>
        <v>0</v>
      </c>
    </row>
    <row r="52" spans="3:30">
      <c r="C52" s="2149" t="s">
        <v>221</v>
      </c>
      <c r="D52" s="1081" t="s">
        <v>1131</v>
      </c>
      <c r="E52" s="1082" t="s">
        <v>1132</v>
      </c>
      <c r="G52" s="1819">
        <v>499.8</v>
      </c>
      <c r="H52" s="1104">
        <f t="shared" ref="H52:H57" si="36">G52</f>
        <v>499.8</v>
      </c>
      <c r="I52" s="771"/>
      <c r="J52" s="1104">
        <f t="shared" ref="J52:J57" si="37">I52</f>
        <v>0</v>
      </c>
      <c r="K52" s="771"/>
      <c r="L52" s="1104">
        <f t="shared" ref="L52:L57" si="38">K52</f>
        <v>0</v>
      </c>
      <c r="M52" s="771"/>
      <c r="N52" s="1104">
        <f t="shared" ref="N52:N57" si="39">M52</f>
        <v>0</v>
      </c>
      <c r="O52" s="771"/>
      <c r="P52" s="1104">
        <f t="shared" ref="P52:P57" si="40">O52</f>
        <v>0</v>
      </c>
      <c r="Q52" s="771"/>
      <c r="R52" s="1104">
        <f t="shared" ref="R52:R57" si="41">Q52</f>
        <v>0</v>
      </c>
      <c r="S52" s="771"/>
      <c r="T52" s="1104">
        <f t="shared" ref="T52:T57" si="42">S52</f>
        <v>0</v>
      </c>
      <c r="U52" s="771"/>
      <c r="V52" s="1104">
        <f t="shared" ref="V52:V57" si="43">U52</f>
        <v>0</v>
      </c>
      <c r="W52" s="771"/>
      <c r="X52" s="1104">
        <f t="shared" ref="X52:X57" si="44">W52</f>
        <v>0</v>
      </c>
      <c r="Y52" s="771"/>
      <c r="Z52" s="1104">
        <f t="shared" ref="Z52:Z57" si="45">Y52</f>
        <v>0</v>
      </c>
      <c r="AA52" s="771"/>
      <c r="AB52" s="1104">
        <f t="shared" ref="AB52:AB57" si="46">AA52</f>
        <v>0</v>
      </c>
      <c r="AC52" s="771"/>
      <c r="AD52" s="1104">
        <f t="shared" ref="AD52:AD57" si="47">AC52</f>
        <v>0</v>
      </c>
    </row>
    <row r="53" spans="3:30">
      <c r="C53" s="2150"/>
      <c r="D53" s="1083" t="s">
        <v>1133</v>
      </c>
      <c r="E53" s="1084" t="s">
        <v>1132</v>
      </c>
      <c r="G53" s="1820">
        <v>0</v>
      </c>
      <c r="H53" s="1104">
        <f t="shared" si="36"/>
        <v>0</v>
      </c>
      <c r="I53" s="771"/>
      <c r="J53" s="1104">
        <f t="shared" si="37"/>
        <v>0</v>
      </c>
      <c r="K53" s="771"/>
      <c r="L53" s="1104">
        <f t="shared" si="38"/>
        <v>0</v>
      </c>
      <c r="M53" s="771"/>
      <c r="N53" s="1104">
        <f t="shared" si="39"/>
        <v>0</v>
      </c>
      <c r="O53" s="771"/>
      <c r="P53" s="1104">
        <f t="shared" si="40"/>
        <v>0</v>
      </c>
      <c r="Q53" s="771"/>
      <c r="R53" s="1104">
        <f t="shared" si="41"/>
        <v>0</v>
      </c>
      <c r="S53" s="771"/>
      <c r="T53" s="1104">
        <f t="shared" si="42"/>
        <v>0</v>
      </c>
      <c r="U53" s="771"/>
      <c r="V53" s="1104">
        <f t="shared" si="43"/>
        <v>0</v>
      </c>
      <c r="W53" s="771"/>
      <c r="X53" s="1104">
        <f t="shared" si="44"/>
        <v>0</v>
      </c>
      <c r="Y53" s="771"/>
      <c r="Z53" s="1104">
        <f t="shared" si="45"/>
        <v>0</v>
      </c>
      <c r="AA53" s="771"/>
      <c r="AB53" s="1104">
        <f t="shared" si="46"/>
        <v>0</v>
      </c>
      <c r="AC53" s="771"/>
      <c r="AD53" s="1104">
        <f t="shared" si="47"/>
        <v>0</v>
      </c>
    </row>
    <row r="54" spans="3:30">
      <c r="C54" s="2150"/>
      <c r="D54" s="1083" t="s">
        <v>1134</v>
      </c>
      <c r="E54" s="1084" t="s">
        <v>1132</v>
      </c>
      <c r="F54" t="s">
        <v>1135</v>
      </c>
      <c r="G54" s="1820">
        <v>0</v>
      </c>
      <c r="H54" s="1104">
        <f t="shared" si="36"/>
        <v>0</v>
      </c>
      <c r="I54" s="771"/>
      <c r="J54" s="1104">
        <f t="shared" si="37"/>
        <v>0</v>
      </c>
      <c r="K54" s="771"/>
      <c r="L54" s="1104">
        <f t="shared" si="38"/>
        <v>0</v>
      </c>
      <c r="M54" s="771"/>
      <c r="N54" s="1104">
        <f t="shared" si="39"/>
        <v>0</v>
      </c>
      <c r="O54" s="771"/>
      <c r="P54" s="1104">
        <f t="shared" si="40"/>
        <v>0</v>
      </c>
      <c r="Q54" s="771"/>
      <c r="R54" s="1104">
        <f t="shared" si="41"/>
        <v>0</v>
      </c>
      <c r="S54" s="771"/>
      <c r="T54" s="1104">
        <f t="shared" si="42"/>
        <v>0</v>
      </c>
      <c r="U54" s="771"/>
      <c r="V54" s="1104">
        <f t="shared" si="43"/>
        <v>0</v>
      </c>
      <c r="W54" s="771"/>
      <c r="X54" s="1104">
        <f t="shared" si="44"/>
        <v>0</v>
      </c>
      <c r="Y54" s="771"/>
      <c r="Z54" s="1104">
        <f t="shared" si="45"/>
        <v>0</v>
      </c>
      <c r="AA54" s="771"/>
      <c r="AB54" s="1104">
        <f t="shared" si="46"/>
        <v>0</v>
      </c>
      <c r="AC54" s="771"/>
      <c r="AD54" s="1104">
        <f t="shared" si="47"/>
        <v>0</v>
      </c>
    </row>
    <row r="55" spans="3:30">
      <c r="C55" s="2150"/>
      <c r="D55" s="1083" t="s">
        <v>1136</v>
      </c>
      <c r="E55" s="1084" t="s">
        <v>1132</v>
      </c>
      <c r="F55" t="s">
        <v>1170</v>
      </c>
      <c r="G55" s="1819">
        <v>288.39999999999998</v>
      </c>
      <c r="H55" s="1104">
        <f t="shared" si="36"/>
        <v>288.39999999999998</v>
      </c>
      <c r="I55" s="771"/>
      <c r="J55" s="1104">
        <f t="shared" si="37"/>
        <v>0</v>
      </c>
      <c r="K55" s="771"/>
      <c r="L55" s="1104">
        <f t="shared" si="38"/>
        <v>0</v>
      </c>
      <c r="M55" s="771"/>
      <c r="N55" s="1104">
        <f t="shared" si="39"/>
        <v>0</v>
      </c>
      <c r="O55" s="771"/>
      <c r="P55" s="1104">
        <f t="shared" si="40"/>
        <v>0</v>
      </c>
      <c r="Q55" s="771"/>
      <c r="R55" s="1104">
        <f t="shared" si="41"/>
        <v>0</v>
      </c>
      <c r="S55" s="771"/>
      <c r="T55" s="1104">
        <f t="shared" si="42"/>
        <v>0</v>
      </c>
      <c r="U55" s="771"/>
      <c r="V55" s="1104">
        <f t="shared" si="43"/>
        <v>0</v>
      </c>
      <c r="W55" s="771"/>
      <c r="X55" s="1104">
        <f t="shared" si="44"/>
        <v>0</v>
      </c>
      <c r="Y55" s="771"/>
      <c r="Z55" s="1104">
        <f t="shared" si="45"/>
        <v>0</v>
      </c>
      <c r="AA55" s="771"/>
      <c r="AB55" s="1104">
        <f t="shared" si="46"/>
        <v>0</v>
      </c>
      <c r="AC55" s="771"/>
      <c r="AD55" s="1104">
        <f t="shared" si="47"/>
        <v>0</v>
      </c>
    </row>
    <row r="56" spans="3:30">
      <c r="C56" s="2150"/>
      <c r="D56" s="1083" t="s">
        <v>1138</v>
      </c>
      <c r="E56" s="1084" t="s">
        <v>1132</v>
      </c>
      <c r="F56" t="s">
        <v>1171</v>
      </c>
      <c r="G56" s="1820">
        <v>0</v>
      </c>
      <c r="H56" s="1104">
        <f t="shared" si="36"/>
        <v>0</v>
      </c>
      <c r="I56" s="771"/>
      <c r="J56" s="1104">
        <f t="shared" si="37"/>
        <v>0</v>
      </c>
      <c r="K56" s="771"/>
      <c r="L56" s="1104">
        <f t="shared" si="38"/>
        <v>0</v>
      </c>
      <c r="M56" s="771"/>
      <c r="N56" s="1104">
        <f t="shared" si="39"/>
        <v>0</v>
      </c>
      <c r="O56" s="771"/>
      <c r="P56" s="1104">
        <f t="shared" si="40"/>
        <v>0</v>
      </c>
      <c r="Q56" s="771"/>
      <c r="R56" s="1104">
        <f t="shared" si="41"/>
        <v>0</v>
      </c>
      <c r="S56" s="771"/>
      <c r="T56" s="1104">
        <f t="shared" si="42"/>
        <v>0</v>
      </c>
      <c r="U56" s="771"/>
      <c r="V56" s="1104">
        <f t="shared" si="43"/>
        <v>0</v>
      </c>
      <c r="W56" s="771"/>
      <c r="X56" s="1104">
        <f t="shared" si="44"/>
        <v>0</v>
      </c>
      <c r="Y56" s="771"/>
      <c r="Z56" s="1104">
        <f t="shared" si="45"/>
        <v>0</v>
      </c>
      <c r="AA56" s="771"/>
      <c r="AB56" s="1104">
        <f t="shared" si="46"/>
        <v>0</v>
      </c>
      <c r="AC56" s="771"/>
      <c r="AD56" s="1104">
        <f t="shared" si="47"/>
        <v>0</v>
      </c>
    </row>
    <row r="57" spans="3:30">
      <c r="C57" s="2150"/>
      <c r="D57" s="1083" t="s">
        <v>1140</v>
      </c>
      <c r="E57" s="1084" t="s">
        <v>1128</v>
      </c>
      <c r="F57" t="s">
        <v>1172</v>
      </c>
      <c r="G57" s="1820">
        <v>0</v>
      </c>
      <c r="H57" s="1104">
        <f t="shared" si="36"/>
        <v>0</v>
      </c>
      <c r="I57" s="771"/>
      <c r="J57" s="1104">
        <f t="shared" si="37"/>
        <v>0</v>
      </c>
      <c r="K57" s="771"/>
      <c r="L57" s="1104">
        <f t="shared" si="38"/>
        <v>0</v>
      </c>
      <c r="M57" s="771"/>
      <c r="N57" s="1104">
        <f t="shared" si="39"/>
        <v>0</v>
      </c>
      <c r="O57" s="771"/>
      <c r="P57" s="1104">
        <f t="shared" si="40"/>
        <v>0</v>
      </c>
      <c r="Q57" s="771"/>
      <c r="R57" s="1104">
        <f t="shared" si="41"/>
        <v>0</v>
      </c>
      <c r="S57" s="771"/>
      <c r="T57" s="1104">
        <f t="shared" si="42"/>
        <v>0</v>
      </c>
      <c r="U57" s="771"/>
      <c r="V57" s="1104">
        <f t="shared" si="43"/>
        <v>0</v>
      </c>
      <c r="W57" s="771"/>
      <c r="X57" s="1104">
        <f t="shared" si="44"/>
        <v>0</v>
      </c>
      <c r="Y57" s="771"/>
      <c r="Z57" s="1104">
        <f t="shared" si="45"/>
        <v>0</v>
      </c>
      <c r="AA57" s="771"/>
      <c r="AB57" s="1104">
        <f t="shared" si="46"/>
        <v>0</v>
      </c>
      <c r="AC57" s="771"/>
      <c r="AD57" s="1104">
        <f t="shared" si="47"/>
        <v>0</v>
      </c>
    </row>
    <row r="58" spans="3:30">
      <c r="C58" s="2150"/>
      <c r="D58" s="1083" t="s">
        <v>1141</v>
      </c>
      <c r="E58" s="1084" t="s">
        <v>1142</v>
      </c>
      <c r="F58" t="s">
        <v>1139</v>
      </c>
      <c r="G58" s="1820">
        <v>0</v>
      </c>
      <c r="H58" s="1104">
        <f>G58*6</f>
        <v>0</v>
      </c>
      <c r="I58" s="771"/>
      <c r="J58" s="1104">
        <f>I58*6</f>
        <v>0</v>
      </c>
      <c r="K58" s="771"/>
      <c r="L58" s="1104">
        <f>K58*6</f>
        <v>0</v>
      </c>
      <c r="M58" s="771"/>
      <c r="N58" s="1104">
        <f>M58*6</f>
        <v>0</v>
      </c>
      <c r="O58" s="771"/>
      <c r="P58" s="1104">
        <f>O58*6</f>
        <v>0</v>
      </c>
      <c r="Q58" s="771"/>
      <c r="R58" s="1104">
        <f>Q58*6</f>
        <v>0</v>
      </c>
      <c r="S58" s="771"/>
      <c r="T58" s="1104">
        <f>S58*6</f>
        <v>0</v>
      </c>
      <c r="U58" s="771"/>
      <c r="V58" s="1104">
        <f>U58*6</f>
        <v>0</v>
      </c>
      <c r="W58" s="771"/>
      <c r="X58" s="1104">
        <f>W58*6</f>
        <v>0</v>
      </c>
      <c r="Y58" s="771"/>
      <c r="Z58" s="1104">
        <f>Y58*6</f>
        <v>0</v>
      </c>
      <c r="AA58" s="771"/>
      <c r="AB58" s="1104">
        <f>AA58*6</f>
        <v>0</v>
      </c>
      <c r="AC58" s="771"/>
      <c r="AD58" s="1104">
        <f>AC58*6</f>
        <v>0</v>
      </c>
    </row>
    <row r="59" spans="3:30">
      <c r="C59" s="2150"/>
      <c r="D59" s="1083" t="s">
        <v>1143</v>
      </c>
      <c r="E59" s="1084" t="s">
        <v>1142</v>
      </c>
      <c r="G59" s="1820">
        <v>0</v>
      </c>
      <c r="H59" s="1104">
        <f>G59*10</f>
        <v>0</v>
      </c>
      <c r="I59" s="771"/>
      <c r="J59" s="1104">
        <f>I59*10</f>
        <v>0</v>
      </c>
      <c r="K59" s="771"/>
      <c r="L59" s="1104">
        <f>K59*10</f>
        <v>0</v>
      </c>
      <c r="M59" s="771"/>
      <c r="N59" s="1104">
        <f>M59*10</f>
        <v>0</v>
      </c>
      <c r="O59" s="771"/>
      <c r="P59" s="1104">
        <f>O59*10</f>
        <v>0</v>
      </c>
      <c r="Q59" s="771"/>
      <c r="R59" s="1104">
        <f>Q59*10</f>
        <v>0</v>
      </c>
      <c r="S59" s="771"/>
      <c r="T59" s="1104">
        <f>S59*10</f>
        <v>0</v>
      </c>
      <c r="U59" s="771"/>
      <c r="V59" s="1104">
        <f>U59*10</f>
        <v>0</v>
      </c>
      <c r="W59" s="771"/>
      <c r="X59" s="1104">
        <f>W59*10</f>
        <v>0</v>
      </c>
      <c r="Y59" s="771"/>
      <c r="Z59" s="1104">
        <f>Y59*10</f>
        <v>0</v>
      </c>
      <c r="AA59" s="771"/>
      <c r="AB59" s="1104">
        <f>AA59*10</f>
        <v>0</v>
      </c>
      <c r="AC59" s="771"/>
      <c r="AD59" s="1104">
        <f>AC59*10</f>
        <v>0</v>
      </c>
    </row>
    <row r="60" spans="3:30">
      <c r="C60" s="2150"/>
      <c r="D60" s="1083" t="s">
        <v>1144</v>
      </c>
      <c r="E60" s="1084" t="s">
        <v>1142</v>
      </c>
      <c r="G60" s="1819">
        <v>30</v>
      </c>
      <c r="H60" s="1104">
        <f>G60*4</f>
        <v>120</v>
      </c>
      <c r="I60" s="771"/>
      <c r="J60" s="1104">
        <f>I60*4</f>
        <v>0</v>
      </c>
      <c r="K60" s="771"/>
      <c r="L60" s="1104">
        <f>K60*4</f>
        <v>0</v>
      </c>
      <c r="M60" s="771"/>
      <c r="N60" s="1104">
        <f>M60*4</f>
        <v>0</v>
      </c>
      <c r="O60" s="771"/>
      <c r="P60" s="1104">
        <f>O60*4</f>
        <v>0</v>
      </c>
      <c r="Q60" s="771"/>
      <c r="R60" s="1104">
        <f>Q60*4</f>
        <v>0</v>
      </c>
      <c r="S60" s="771"/>
      <c r="T60" s="1104">
        <f>S60*4</f>
        <v>0</v>
      </c>
      <c r="U60" s="771"/>
      <c r="V60" s="1104">
        <f>U60*4</f>
        <v>0</v>
      </c>
      <c r="W60" s="771"/>
      <c r="X60" s="1104">
        <f>W60*4</f>
        <v>0</v>
      </c>
      <c r="Y60" s="771"/>
      <c r="Z60" s="1104">
        <f>Y60*4</f>
        <v>0</v>
      </c>
      <c r="AA60" s="771"/>
      <c r="AB60" s="1104">
        <f>AA60*4</f>
        <v>0</v>
      </c>
      <c r="AC60" s="771"/>
      <c r="AD60" s="1104">
        <f>AC60*4</f>
        <v>0</v>
      </c>
    </row>
    <row r="61" spans="3:30">
      <c r="C61" s="2150"/>
      <c r="D61" s="1083" t="s">
        <v>1145</v>
      </c>
      <c r="E61" s="1084" t="s">
        <v>1142</v>
      </c>
      <c r="G61" s="1820">
        <v>0</v>
      </c>
      <c r="H61" s="1104">
        <f>G61*2</f>
        <v>0</v>
      </c>
      <c r="I61" s="771"/>
      <c r="J61" s="1104">
        <f>I61*2</f>
        <v>0</v>
      </c>
      <c r="K61" s="771"/>
      <c r="L61" s="1104">
        <f>K61*2</f>
        <v>0</v>
      </c>
      <c r="M61" s="771"/>
      <c r="N61" s="1104">
        <f>M61*2</f>
        <v>0</v>
      </c>
      <c r="O61" s="771"/>
      <c r="P61" s="1104">
        <f>O61*2</f>
        <v>0</v>
      </c>
      <c r="Q61" s="771"/>
      <c r="R61" s="1104">
        <f>Q61*2</f>
        <v>0</v>
      </c>
      <c r="S61" s="771"/>
      <c r="T61" s="1104">
        <f>S61*2</f>
        <v>0</v>
      </c>
      <c r="U61" s="771"/>
      <c r="V61" s="1104">
        <f>U61*2</f>
        <v>0</v>
      </c>
      <c r="W61" s="771"/>
      <c r="X61" s="1104">
        <f>W61*2</f>
        <v>0</v>
      </c>
      <c r="Y61" s="771"/>
      <c r="Z61" s="1104">
        <f>Y61*2</f>
        <v>0</v>
      </c>
      <c r="AA61" s="771"/>
      <c r="AB61" s="1104">
        <f>AA61*2</f>
        <v>0</v>
      </c>
      <c r="AC61" s="771"/>
      <c r="AD61" s="1104">
        <f>AC61*2</f>
        <v>0</v>
      </c>
    </row>
    <row r="62" spans="3:30">
      <c r="C62" s="2150"/>
      <c r="D62" s="1083" t="s">
        <v>1146</v>
      </c>
      <c r="E62" s="1084" t="s">
        <v>1132</v>
      </c>
      <c r="G62" s="1819">
        <v>1596.3</v>
      </c>
      <c r="H62" s="1104">
        <f>G62</f>
        <v>1596.3</v>
      </c>
      <c r="I62" s="771"/>
      <c r="J62" s="1104">
        <f>I62</f>
        <v>0</v>
      </c>
      <c r="K62" s="771"/>
      <c r="L62" s="1104">
        <f>K62</f>
        <v>0</v>
      </c>
      <c r="M62" s="771"/>
      <c r="N62" s="1104">
        <f>M62</f>
        <v>0</v>
      </c>
      <c r="O62" s="771"/>
      <c r="P62" s="1104">
        <f>O62</f>
        <v>0</v>
      </c>
      <c r="Q62" s="771"/>
      <c r="R62" s="1104">
        <f>Q62</f>
        <v>0</v>
      </c>
      <c r="S62" s="771"/>
      <c r="T62" s="1104">
        <f>S62</f>
        <v>0</v>
      </c>
      <c r="U62" s="771"/>
      <c r="V62" s="1104">
        <f>U62</f>
        <v>0</v>
      </c>
      <c r="W62" s="771"/>
      <c r="X62" s="1104">
        <f>W62</f>
        <v>0</v>
      </c>
      <c r="Y62" s="771"/>
      <c r="Z62" s="1104">
        <f>Y62</f>
        <v>0</v>
      </c>
      <c r="AA62" s="771"/>
      <c r="AB62" s="1104">
        <f>AA62</f>
        <v>0</v>
      </c>
      <c r="AC62" s="771"/>
      <c r="AD62" s="1104">
        <f>AC62</f>
        <v>0</v>
      </c>
    </row>
    <row r="63" spans="3:30">
      <c r="C63" s="2150"/>
      <c r="D63" s="1083" t="s">
        <v>1147</v>
      </c>
      <c r="E63" s="1084" t="s">
        <v>1142</v>
      </c>
      <c r="G63" s="1820">
        <v>0</v>
      </c>
      <c r="H63" s="1037">
        <f>G63*65</f>
        <v>0</v>
      </c>
      <c r="I63" s="771"/>
      <c r="J63" s="1037">
        <f>I63*65</f>
        <v>0</v>
      </c>
      <c r="K63" s="771"/>
      <c r="L63" s="1037">
        <f>K63*65</f>
        <v>0</v>
      </c>
      <c r="M63" s="771"/>
      <c r="N63" s="1037">
        <f>M63*65</f>
        <v>0</v>
      </c>
      <c r="O63" s="771"/>
      <c r="P63" s="1037">
        <f>O63*65</f>
        <v>0</v>
      </c>
      <c r="Q63" s="771"/>
      <c r="R63" s="1037">
        <f>Q63*65</f>
        <v>0</v>
      </c>
      <c r="S63" s="771"/>
      <c r="T63" s="1037">
        <f>S63*65</f>
        <v>0</v>
      </c>
      <c r="U63" s="771"/>
      <c r="V63" s="1037">
        <f>U63*65</f>
        <v>0</v>
      </c>
      <c r="W63" s="771"/>
      <c r="X63" s="1037">
        <f>W63*65</f>
        <v>0</v>
      </c>
      <c r="Y63" s="771"/>
      <c r="Z63" s="1037">
        <f>Y63*65</f>
        <v>0</v>
      </c>
      <c r="AA63" s="771"/>
      <c r="AB63" s="1037">
        <f>AA63*65</f>
        <v>0</v>
      </c>
      <c r="AC63" s="771"/>
      <c r="AD63" s="1037">
        <f>AC63*65</f>
        <v>0</v>
      </c>
    </row>
    <row r="64" spans="3:30" ht="15.75" thickBot="1">
      <c r="C64" s="2150"/>
      <c r="D64" s="1085" t="s">
        <v>1148</v>
      </c>
      <c r="E64" s="1086" t="s">
        <v>1142</v>
      </c>
      <c r="G64" s="1820">
        <v>0</v>
      </c>
      <c r="H64" s="1104"/>
      <c r="I64" s="771"/>
      <c r="J64" s="1104"/>
      <c r="K64" s="771"/>
      <c r="L64" s="1104"/>
      <c r="M64" s="771"/>
      <c r="N64" s="1104"/>
      <c r="O64" s="771"/>
      <c r="P64" s="1104"/>
      <c r="Q64" s="771"/>
      <c r="R64" s="1104"/>
      <c r="S64" s="771"/>
      <c r="T64" s="1104"/>
      <c r="U64" s="771"/>
      <c r="V64" s="1104"/>
      <c r="W64" s="771"/>
      <c r="X64" s="1104"/>
      <c r="Y64" s="771"/>
      <c r="Z64" s="1104"/>
      <c r="AA64" s="771"/>
      <c r="AB64" s="1104"/>
      <c r="AC64" s="771"/>
      <c r="AD64" s="1104"/>
    </row>
    <row r="65" spans="3:30" ht="15.75">
      <c r="C65" s="2152"/>
      <c r="D65" s="2153" t="s">
        <v>334</v>
      </c>
      <c r="E65" s="1087" t="s">
        <v>224</v>
      </c>
      <c r="G65" s="1819">
        <v>2384.5</v>
      </c>
      <c r="H65" s="1107">
        <f>SUM(H52:H64)</f>
        <v>2504.5</v>
      </c>
      <c r="I65" s="1105">
        <f>I52+I53+I54+I55+I62+I56+I57</f>
        <v>0</v>
      </c>
      <c r="J65" s="1107">
        <f>SUM(J52:J64)</f>
        <v>0</v>
      </c>
      <c r="K65" s="1105">
        <f>K52+K53+K54+K55+K62+K56+K57</f>
        <v>0</v>
      </c>
      <c r="L65" s="1107">
        <f>SUM(L52:L64)</f>
        <v>0</v>
      </c>
      <c r="M65" s="1105">
        <f>M52+M53+M54+M55+M62+M56+M57</f>
        <v>0</v>
      </c>
      <c r="N65" s="1107">
        <f>SUM(N52:N64)</f>
        <v>0</v>
      </c>
      <c r="O65" s="1105">
        <f>O52+O53+O54+O55+O62+O56+O57</f>
        <v>0</v>
      </c>
      <c r="P65" s="1107">
        <f>SUM(P52:P64)</f>
        <v>0</v>
      </c>
      <c r="Q65" s="1105">
        <f t="shared" ref="Q65" si="48">Q52+Q53+Q54+Q55+Q62+Q56+Q57</f>
        <v>0</v>
      </c>
      <c r="R65" s="1107">
        <f>SUM(R52:R64)</f>
        <v>0</v>
      </c>
      <c r="S65" s="1105">
        <f t="shared" ref="S65" si="49">S52+S53+S54+S55+S62+S56+S57</f>
        <v>0</v>
      </c>
      <c r="T65" s="1107">
        <f>SUM(T52:T64)</f>
        <v>0</v>
      </c>
      <c r="U65" s="1105">
        <f t="shared" ref="U65" si="50">U52+U53+U54+U55+U62+U56+U57</f>
        <v>0</v>
      </c>
      <c r="V65" s="1107">
        <f>SUM(V52:V64)</f>
        <v>0</v>
      </c>
      <c r="W65" s="1105">
        <f t="shared" ref="W65" si="51">W52+W53+W54+W55+W62+W56+W57</f>
        <v>0</v>
      </c>
      <c r="X65" s="1107">
        <f>SUM(X52:X64)</f>
        <v>0</v>
      </c>
      <c r="Y65" s="1105">
        <f t="shared" ref="Y65" si="52">Y52+Y53+Y54+Y55+Y62+Y56+Y57</f>
        <v>0</v>
      </c>
      <c r="Z65" s="1107">
        <f>SUM(Z52:Z64)</f>
        <v>0</v>
      </c>
      <c r="AA65" s="1105">
        <f>AA52+AA53+AA54+AA55+AA62+AA56+AA57</f>
        <v>0</v>
      </c>
      <c r="AB65" s="1107">
        <f>SUM(AB52:AB64)</f>
        <v>0</v>
      </c>
      <c r="AC65" s="1105">
        <f>AC52+AC53+AC54+AC55+AC62+AC56+AC57</f>
        <v>0</v>
      </c>
      <c r="AD65" s="1107">
        <f>SUM(AD52:AD64)</f>
        <v>0</v>
      </c>
    </row>
    <row r="66" spans="3:30" ht="15.75">
      <c r="C66" s="2151"/>
      <c r="D66" s="2154"/>
      <c r="E66" s="1088" t="s">
        <v>1149</v>
      </c>
      <c r="G66" s="1820">
        <v>0</v>
      </c>
      <c r="H66" s="1104"/>
      <c r="I66" s="1105">
        <f>I58+I59+I60+I61+I63+I64</f>
        <v>0</v>
      </c>
      <c r="J66" s="1104"/>
      <c r="K66" s="1105">
        <f>K58+K59+K60+K61+K63+K64</f>
        <v>0</v>
      </c>
      <c r="L66" s="1104"/>
      <c r="M66" s="1105">
        <f>M58+M59+M60+M61+M63+M64</f>
        <v>0</v>
      </c>
      <c r="N66" s="1104"/>
      <c r="O66" s="1105">
        <f>O58+O59+O60+O61+O63+O64</f>
        <v>0</v>
      </c>
      <c r="P66" s="1104"/>
      <c r="Q66" s="1105">
        <f t="shared" ref="Q66" si="53">Q58+Q59+Q60+Q61+Q63+Q64</f>
        <v>0</v>
      </c>
      <c r="R66" s="1104"/>
      <c r="S66" s="1105">
        <f t="shared" ref="S66" si="54">S58+S59+S60+S61+S63+S64</f>
        <v>0</v>
      </c>
      <c r="T66" s="1104"/>
      <c r="U66" s="1105">
        <f t="shared" ref="U66" si="55">U58+U59+U60+U61+U63+U64</f>
        <v>0</v>
      </c>
      <c r="V66" s="1104"/>
      <c r="W66" s="1105">
        <f t="shared" ref="W66:Y66" si="56">W58+W59+W60+W61+W63+W64</f>
        <v>0</v>
      </c>
      <c r="X66" s="1104"/>
      <c r="Y66" s="1105">
        <f t="shared" si="56"/>
        <v>0</v>
      </c>
      <c r="Z66" s="1104"/>
      <c r="AA66" s="1105">
        <f>AA58+AA59+AA60+AA61+AA63+AA64</f>
        <v>0</v>
      </c>
      <c r="AB66" s="1104"/>
      <c r="AC66" s="1105">
        <f>AC58+AC59+AC60+AC61+AC63+AC64</f>
        <v>0</v>
      </c>
      <c r="AD66" s="1104"/>
    </row>
    <row r="67" spans="3:30" ht="15.75">
      <c r="C67" s="2149" t="s">
        <v>477</v>
      </c>
      <c r="D67" s="1081" t="s">
        <v>1150</v>
      </c>
      <c r="E67" s="1089" t="s">
        <v>1128</v>
      </c>
      <c r="G67" s="1820">
        <v>0</v>
      </c>
      <c r="H67" s="1104">
        <f>G67</f>
        <v>0</v>
      </c>
      <c r="I67" s="771"/>
      <c r="J67" s="1104">
        <f>I67</f>
        <v>0</v>
      </c>
      <c r="K67" s="771"/>
      <c r="L67" s="1104">
        <f>K67</f>
        <v>0</v>
      </c>
      <c r="M67" s="771"/>
      <c r="N67" s="1104">
        <f>M67</f>
        <v>0</v>
      </c>
      <c r="O67" s="771"/>
      <c r="P67" s="1104">
        <f>O67</f>
        <v>0</v>
      </c>
      <c r="Q67" s="771"/>
      <c r="R67" s="1104">
        <f>Q67</f>
        <v>0</v>
      </c>
      <c r="S67" s="771"/>
      <c r="T67" s="1104">
        <f>S67</f>
        <v>0</v>
      </c>
      <c r="U67" s="771"/>
      <c r="V67" s="1104">
        <f>U67</f>
        <v>0</v>
      </c>
      <c r="W67" s="771"/>
      <c r="X67" s="1104">
        <f>W67</f>
        <v>0</v>
      </c>
      <c r="Y67" s="771"/>
      <c r="Z67" s="1104">
        <f>Y67</f>
        <v>0</v>
      </c>
      <c r="AA67" s="771"/>
      <c r="AB67" s="1104">
        <f>AA67</f>
        <v>0</v>
      </c>
      <c r="AC67" s="771"/>
      <c r="AD67" s="1104">
        <f>AC67</f>
        <v>0</v>
      </c>
    </row>
    <row r="68" spans="3:30" ht="15.75">
      <c r="C68" s="2150"/>
      <c r="D68" s="1083" t="s">
        <v>1151</v>
      </c>
      <c r="E68" s="1074" t="s">
        <v>1142</v>
      </c>
      <c r="F68" t="s">
        <v>1152</v>
      </c>
      <c r="G68" s="1819">
        <v>50</v>
      </c>
      <c r="H68" s="1104">
        <f>G68*2</f>
        <v>100</v>
      </c>
      <c r="I68" s="771"/>
      <c r="J68" s="1104">
        <f>I68*2</f>
        <v>0</v>
      </c>
      <c r="K68" s="771"/>
      <c r="L68" s="1104">
        <f>K68*2</f>
        <v>0</v>
      </c>
      <c r="M68" s="771"/>
      <c r="N68" s="1104">
        <f>M68*2</f>
        <v>0</v>
      </c>
      <c r="O68" s="771"/>
      <c r="P68" s="1104">
        <f>O68*2</f>
        <v>0</v>
      </c>
      <c r="Q68" s="771"/>
      <c r="R68" s="1104">
        <f>Q68*2</f>
        <v>0</v>
      </c>
      <c r="S68" s="771"/>
      <c r="T68" s="1104">
        <f>S68*2</f>
        <v>0</v>
      </c>
      <c r="U68" s="771"/>
      <c r="V68" s="1104">
        <f>U68*2</f>
        <v>0</v>
      </c>
      <c r="W68" s="771"/>
      <c r="X68" s="1104">
        <f>W68*2</f>
        <v>0</v>
      </c>
      <c r="Y68" s="771"/>
      <c r="Z68" s="1104">
        <f>Y68*2</f>
        <v>0</v>
      </c>
      <c r="AA68" s="771"/>
      <c r="AB68" s="1104">
        <f>AA68*2</f>
        <v>0</v>
      </c>
      <c r="AC68" s="771"/>
      <c r="AD68" s="1104">
        <f>AC68*2</f>
        <v>0</v>
      </c>
    </row>
    <row r="69" spans="3:30" ht="15.75">
      <c r="C69" s="2150"/>
      <c r="D69" s="1083" t="s">
        <v>1153</v>
      </c>
      <c r="E69" s="1076" t="s">
        <v>1142</v>
      </c>
      <c r="F69" t="s">
        <v>1154</v>
      </c>
      <c r="G69" s="1819">
        <v>217</v>
      </c>
      <c r="H69" s="1037">
        <f>G69*16</f>
        <v>3472</v>
      </c>
      <c r="I69" s="771"/>
      <c r="J69" s="1037">
        <f>I69*16</f>
        <v>0</v>
      </c>
      <c r="K69" s="771"/>
      <c r="L69" s="1037">
        <f>K69*16</f>
        <v>0</v>
      </c>
      <c r="M69" s="771"/>
      <c r="N69" s="1037">
        <f>M69*16</f>
        <v>0</v>
      </c>
      <c r="O69" s="771"/>
      <c r="P69" s="1037">
        <f>O69*16</f>
        <v>0</v>
      </c>
      <c r="Q69" s="771"/>
      <c r="R69" s="1037">
        <f>Q69*16</f>
        <v>0</v>
      </c>
      <c r="S69" s="771"/>
      <c r="T69" s="1037">
        <f>S69*16</f>
        <v>0</v>
      </c>
      <c r="U69" s="771"/>
      <c r="V69" s="1037">
        <f>U69*16</f>
        <v>0</v>
      </c>
      <c r="W69" s="771"/>
      <c r="X69" s="1037">
        <f>W69*16</f>
        <v>0</v>
      </c>
      <c r="Y69" s="771"/>
      <c r="Z69" s="1037">
        <f>Y69*16</f>
        <v>0</v>
      </c>
      <c r="AA69" s="771"/>
      <c r="AB69" s="1037">
        <f>AA69*16</f>
        <v>0</v>
      </c>
      <c r="AC69" s="771"/>
      <c r="AD69" s="1037">
        <f>AC69*16</f>
        <v>0</v>
      </c>
    </row>
    <row r="70" spans="3:30" ht="15.75">
      <c r="C70" s="2150"/>
      <c r="D70" s="1083" t="s">
        <v>1155</v>
      </c>
      <c r="E70" s="1074" t="s">
        <v>1142</v>
      </c>
      <c r="G70" s="1819">
        <v>21</v>
      </c>
      <c r="H70" s="1037">
        <f>G70*16</f>
        <v>336</v>
      </c>
      <c r="I70" s="771"/>
      <c r="J70" s="1037">
        <f>I70*16</f>
        <v>0</v>
      </c>
      <c r="K70" s="771"/>
      <c r="L70" s="1037">
        <f>K70*16</f>
        <v>0</v>
      </c>
      <c r="M70" s="771"/>
      <c r="N70" s="1037">
        <f>M70*16</f>
        <v>0</v>
      </c>
      <c r="O70" s="771"/>
      <c r="P70" s="1037">
        <f>O70*16</f>
        <v>0</v>
      </c>
      <c r="Q70" s="771"/>
      <c r="R70" s="1037">
        <f>Q70*16</f>
        <v>0</v>
      </c>
      <c r="S70" s="771"/>
      <c r="T70" s="1037">
        <f>S70*16</f>
        <v>0</v>
      </c>
      <c r="U70" s="771"/>
      <c r="V70" s="1037">
        <f>U70*16</f>
        <v>0</v>
      </c>
      <c r="W70" s="771"/>
      <c r="X70" s="1037">
        <f>W70*16</f>
        <v>0</v>
      </c>
      <c r="Y70" s="771"/>
      <c r="Z70" s="1037">
        <f>Y70*16</f>
        <v>0</v>
      </c>
      <c r="AA70" s="771"/>
      <c r="AB70" s="1037">
        <f>AA70*16</f>
        <v>0</v>
      </c>
      <c r="AC70" s="771"/>
      <c r="AD70" s="1037">
        <f>AC70*16</f>
        <v>0</v>
      </c>
    </row>
    <row r="71" spans="3:30" ht="15.75">
      <c r="C71" s="2150"/>
      <c r="D71" s="1083" t="s">
        <v>1156</v>
      </c>
      <c r="E71" s="1074" t="s">
        <v>1132</v>
      </c>
      <c r="G71" s="1820">
        <v>0</v>
      </c>
      <c r="H71" s="1104">
        <f>G71</f>
        <v>0</v>
      </c>
      <c r="I71" s="771"/>
      <c r="J71" s="1104">
        <f>I71</f>
        <v>0</v>
      </c>
      <c r="K71" s="771"/>
      <c r="L71" s="1104">
        <f>K71</f>
        <v>0</v>
      </c>
      <c r="M71" s="771"/>
      <c r="N71" s="1104">
        <f>M71</f>
        <v>0</v>
      </c>
      <c r="O71" s="771"/>
      <c r="P71" s="1104">
        <f>O71</f>
        <v>0</v>
      </c>
      <c r="Q71" s="771"/>
      <c r="R71" s="1104">
        <f>Q71</f>
        <v>0</v>
      </c>
      <c r="S71" s="771"/>
      <c r="T71" s="1104">
        <f>S71</f>
        <v>0</v>
      </c>
      <c r="U71" s="771"/>
      <c r="V71" s="1104">
        <f>U71</f>
        <v>0</v>
      </c>
      <c r="W71" s="771"/>
      <c r="X71" s="1104">
        <f>W71</f>
        <v>0</v>
      </c>
      <c r="Y71" s="771"/>
      <c r="Z71" s="1104">
        <f>Y71</f>
        <v>0</v>
      </c>
      <c r="AA71" s="771"/>
      <c r="AB71" s="1104">
        <f>AA71</f>
        <v>0</v>
      </c>
      <c r="AC71" s="771"/>
      <c r="AD71" s="1104">
        <f>AC71</f>
        <v>0</v>
      </c>
    </row>
    <row r="72" spans="3:30" ht="15.75">
      <c r="C72" s="2150"/>
      <c r="D72" s="1085" t="s">
        <v>1157</v>
      </c>
      <c r="E72" s="1090" t="s">
        <v>1132</v>
      </c>
      <c r="G72" s="1820">
        <v>0</v>
      </c>
      <c r="H72" s="1104">
        <f>G72</f>
        <v>0</v>
      </c>
      <c r="I72" s="771"/>
      <c r="J72" s="1104">
        <f>I72</f>
        <v>0</v>
      </c>
      <c r="K72" s="771"/>
      <c r="L72" s="1104">
        <f>K72</f>
        <v>0</v>
      </c>
      <c r="M72" s="771"/>
      <c r="N72" s="1104">
        <f>M72</f>
        <v>0</v>
      </c>
      <c r="O72" s="771"/>
      <c r="P72" s="1104">
        <f>O72</f>
        <v>0</v>
      </c>
      <c r="Q72" s="771"/>
      <c r="R72" s="1104">
        <f>Q72</f>
        <v>0</v>
      </c>
      <c r="S72" s="771"/>
      <c r="T72" s="1104">
        <f>S72</f>
        <v>0</v>
      </c>
      <c r="U72" s="771"/>
      <c r="V72" s="1104">
        <f>U72</f>
        <v>0</v>
      </c>
      <c r="W72" s="771"/>
      <c r="X72" s="1104">
        <f>W72</f>
        <v>0</v>
      </c>
      <c r="Y72" s="771"/>
      <c r="Z72" s="1104">
        <f>Y72</f>
        <v>0</v>
      </c>
      <c r="AA72" s="771"/>
      <c r="AB72" s="1104">
        <f>AA72</f>
        <v>0</v>
      </c>
      <c r="AC72" s="771"/>
      <c r="AD72" s="1104">
        <f>AC72</f>
        <v>0</v>
      </c>
    </row>
    <row r="73" spans="3:30" ht="15.75">
      <c r="C73" s="2152"/>
      <c r="D73" s="2153" t="s">
        <v>334</v>
      </c>
      <c r="E73" s="1087" t="s">
        <v>224</v>
      </c>
      <c r="G73" s="1820">
        <v>0</v>
      </c>
      <c r="H73" s="1106">
        <f>SUM(H67:H72)</f>
        <v>3908</v>
      </c>
      <c r="I73" s="1105">
        <f>I67+I71+I72</f>
        <v>0</v>
      </c>
      <c r="J73" s="1106">
        <f>SUM(J67:J72)</f>
        <v>0</v>
      </c>
      <c r="K73" s="1105">
        <f>K67+K71+K72</f>
        <v>0</v>
      </c>
      <c r="L73" s="1106">
        <f>SUM(L67:L72)</f>
        <v>0</v>
      </c>
      <c r="M73" s="1105">
        <f>M67+M71+M72</f>
        <v>0</v>
      </c>
      <c r="N73" s="1106">
        <f>SUM(N67:N72)</f>
        <v>0</v>
      </c>
      <c r="O73" s="1105">
        <f>O67+O71+O72</f>
        <v>0</v>
      </c>
      <c r="P73" s="1106">
        <f>SUM(P67:P72)</f>
        <v>0</v>
      </c>
      <c r="Q73" s="1105">
        <f t="shared" ref="Q73" si="57">Q67+Q71+Q72</f>
        <v>0</v>
      </c>
      <c r="R73" s="1106">
        <f>SUM(R67:R72)</f>
        <v>0</v>
      </c>
      <c r="S73" s="1105">
        <f t="shared" ref="S73" si="58">S67+S71+S72</f>
        <v>0</v>
      </c>
      <c r="T73" s="1106">
        <f>SUM(T67:T72)</f>
        <v>0</v>
      </c>
      <c r="U73" s="1105">
        <f t="shared" ref="U73" si="59">U67+U71+U72</f>
        <v>0</v>
      </c>
      <c r="V73" s="1106">
        <f>SUM(V67:V72)</f>
        <v>0</v>
      </c>
      <c r="W73" s="1105">
        <f t="shared" ref="W73" si="60">W67+W71+W72</f>
        <v>0</v>
      </c>
      <c r="X73" s="1106">
        <f>SUM(X67:X72)</f>
        <v>0</v>
      </c>
      <c r="Y73" s="1105"/>
      <c r="Z73" s="1106">
        <f>SUM(Z67:Z72)</f>
        <v>0</v>
      </c>
      <c r="AA73" s="1105">
        <f>AA67+AA71+AA72</f>
        <v>0</v>
      </c>
      <c r="AB73" s="1106">
        <f>SUM(AB67:AB72)</f>
        <v>0</v>
      </c>
      <c r="AC73" s="1105">
        <f>AC67+AC71+AC72</f>
        <v>0</v>
      </c>
      <c r="AD73" s="1106">
        <f>SUM(AD67:AD72)</f>
        <v>0</v>
      </c>
    </row>
    <row r="74" spans="3:30" ht="15.75">
      <c r="C74" s="2151"/>
      <c r="D74" s="2154"/>
      <c r="E74" s="1088" t="s">
        <v>1149</v>
      </c>
      <c r="G74" s="1819">
        <v>288</v>
      </c>
      <c r="H74" s="1104"/>
      <c r="I74" s="1105">
        <f>I68+I69+I70</f>
        <v>0</v>
      </c>
      <c r="J74" s="1104"/>
      <c r="K74" s="1105">
        <f>K68+K69+K70</f>
        <v>0</v>
      </c>
      <c r="L74" s="1104"/>
      <c r="M74" s="1105">
        <f>M68+M69+M70</f>
        <v>0</v>
      </c>
      <c r="N74" s="1104"/>
      <c r="O74" s="1105">
        <f>O68+O69+O70</f>
        <v>0</v>
      </c>
      <c r="P74" s="1104"/>
      <c r="Q74" s="1105">
        <f t="shared" ref="Q74" si="61">Q68+Q69+Q70</f>
        <v>0</v>
      </c>
      <c r="R74" s="1104"/>
      <c r="S74" s="1105">
        <f t="shared" ref="S74" si="62">S68+S69+S70</f>
        <v>0</v>
      </c>
      <c r="T74" s="1104"/>
      <c r="U74" s="1105">
        <f t="shared" ref="U74" si="63">U68+U69+U70</f>
        <v>0</v>
      </c>
      <c r="V74" s="1104"/>
      <c r="W74" s="1105">
        <f t="shared" ref="W74" si="64">W68+W69+W70</f>
        <v>0</v>
      </c>
      <c r="X74" s="1104"/>
      <c r="Y74" s="1105"/>
      <c r="Z74" s="1104"/>
      <c r="AA74" s="1105">
        <f>AA68+AA69+AA70</f>
        <v>0</v>
      </c>
      <c r="AB74" s="1104"/>
      <c r="AC74" s="1105">
        <f>AC68+AC69+AC70</f>
        <v>0</v>
      </c>
      <c r="AD74" s="1104"/>
    </row>
    <row r="75" spans="3:30">
      <c r="C75" s="2149" t="s">
        <v>478</v>
      </c>
      <c r="D75" s="1081" t="s">
        <v>1158</v>
      </c>
      <c r="E75" s="1082" t="s">
        <v>1132</v>
      </c>
      <c r="G75" s="1819">
        <v>12433.1</v>
      </c>
      <c r="H75" s="1108">
        <f>G75</f>
        <v>12433.1</v>
      </c>
      <c r="I75" s="771"/>
      <c r="J75" s="1108">
        <f>I75</f>
        <v>0</v>
      </c>
      <c r="K75" s="771"/>
      <c r="L75" s="1108">
        <f>K75</f>
        <v>0</v>
      </c>
      <c r="M75" s="771"/>
      <c r="N75" s="1108">
        <f>M75</f>
        <v>0</v>
      </c>
      <c r="O75" s="771"/>
      <c r="P75" s="1108">
        <f>O75</f>
        <v>0</v>
      </c>
      <c r="Q75" s="771"/>
      <c r="R75" s="1108">
        <f>Q75</f>
        <v>0</v>
      </c>
      <c r="S75" s="771"/>
      <c r="T75" s="1108">
        <f>S75</f>
        <v>0</v>
      </c>
      <c r="U75" s="771"/>
      <c r="V75" s="1108">
        <f>U75</f>
        <v>0</v>
      </c>
      <c r="W75" s="771"/>
      <c r="X75" s="1108">
        <f>W75</f>
        <v>0</v>
      </c>
      <c r="Y75" s="771"/>
      <c r="Z75" s="1108">
        <f>Y75</f>
        <v>0</v>
      </c>
      <c r="AA75" s="771"/>
      <c r="AB75" s="1108">
        <f>AA75</f>
        <v>0</v>
      </c>
      <c r="AC75" s="771"/>
      <c r="AD75" s="1108">
        <f>AC75</f>
        <v>0</v>
      </c>
    </row>
    <row r="76" spans="3:30">
      <c r="C76" s="2150"/>
      <c r="D76" s="1083" t="s">
        <v>1159</v>
      </c>
      <c r="E76" s="1084" t="s">
        <v>1132</v>
      </c>
      <c r="G76" s="1820">
        <v>0</v>
      </c>
      <c r="H76" s="1104">
        <f>G76</f>
        <v>0</v>
      </c>
      <c r="I76" s="771">
        <v>0</v>
      </c>
      <c r="J76" s="1104">
        <f>I76</f>
        <v>0</v>
      </c>
      <c r="K76" s="771"/>
      <c r="L76" s="1104">
        <f>K76</f>
        <v>0</v>
      </c>
      <c r="M76" s="771"/>
      <c r="N76" s="1104">
        <f>M76</f>
        <v>0</v>
      </c>
      <c r="O76" s="771"/>
      <c r="P76" s="1104">
        <f>O76</f>
        <v>0</v>
      </c>
      <c r="Q76" s="771"/>
      <c r="R76" s="1104">
        <f>Q76</f>
        <v>0</v>
      </c>
      <c r="S76" s="771"/>
      <c r="T76" s="1104">
        <f>S76</f>
        <v>0</v>
      </c>
      <c r="U76" s="771"/>
      <c r="V76" s="1104">
        <f>U76</f>
        <v>0</v>
      </c>
      <c r="W76" s="771"/>
      <c r="X76" s="1104">
        <f>W76</f>
        <v>0</v>
      </c>
      <c r="Y76" s="771"/>
      <c r="Z76" s="1104">
        <f>Y76</f>
        <v>0</v>
      </c>
      <c r="AA76" s="771"/>
      <c r="AB76" s="1104">
        <f>AA76</f>
        <v>0</v>
      </c>
      <c r="AC76" s="771"/>
      <c r="AD76" s="1104">
        <f>AC76</f>
        <v>0</v>
      </c>
    </row>
    <row r="77" spans="3:30" ht="15.75" thickBot="1">
      <c r="C77" s="2150"/>
      <c r="D77" s="1085" t="s">
        <v>1160</v>
      </c>
      <c r="E77" s="1086" t="s">
        <v>1132</v>
      </c>
      <c r="G77" s="1820">
        <v>0</v>
      </c>
      <c r="H77" s="1104">
        <f>G77</f>
        <v>0</v>
      </c>
      <c r="I77" s="771">
        <v>0</v>
      </c>
      <c r="J77" s="1104">
        <f>I77</f>
        <v>0</v>
      </c>
      <c r="K77" s="771"/>
      <c r="L77" s="1104">
        <f>K77</f>
        <v>0</v>
      </c>
      <c r="M77" s="771"/>
      <c r="N77" s="1104">
        <f>M77</f>
        <v>0</v>
      </c>
      <c r="O77" s="771"/>
      <c r="P77" s="1104">
        <f>O77</f>
        <v>0</v>
      </c>
      <c r="Q77" s="771"/>
      <c r="R77" s="1104">
        <f>Q77</f>
        <v>0</v>
      </c>
      <c r="S77" s="771"/>
      <c r="T77" s="1104">
        <f>S77</f>
        <v>0</v>
      </c>
      <c r="U77" s="771"/>
      <c r="V77" s="1104">
        <f>U77</f>
        <v>0</v>
      </c>
      <c r="W77" s="771"/>
      <c r="X77" s="1104">
        <f>W77</f>
        <v>0</v>
      </c>
      <c r="Y77" s="771"/>
      <c r="Z77" s="1104">
        <f>Y77</f>
        <v>0</v>
      </c>
      <c r="AA77" s="771"/>
      <c r="AB77" s="1104">
        <f>AA77</f>
        <v>0</v>
      </c>
      <c r="AC77" s="771"/>
      <c r="AD77" s="1104">
        <f>AC77</f>
        <v>0</v>
      </c>
    </row>
    <row r="78" spans="3:30" ht="15.75" thickBot="1">
      <c r="C78" s="2151"/>
      <c r="D78" s="1091" t="s">
        <v>334</v>
      </c>
      <c r="E78" s="1092" t="s">
        <v>224</v>
      </c>
      <c r="G78" s="1819">
        <v>12433.1</v>
      </c>
      <c r="H78" s="1106">
        <f>SUM(H75:H77)</f>
        <v>12433.1</v>
      </c>
      <c r="I78" s="1105">
        <f>I75+I76+I77</f>
        <v>0</v>
      </c>
      <c r="J78" s="1106">
        <f>SUM(J75:J77)</f>
        <v>0</v>
      </c>
      <c r="K78" s="1105">
        <f>K75+K76+K77</f>
        <v>0</v>
      </c>
      <c r="L78" s="1106">
        <f>SUM(L75:L77)</f>
        <v>0</v>
      </c>
      <c r="M78" s="1105">
        <f>M75+M76+M77</f>
        <v>0</v>
      </c>
      <c r="N78" s="1106">
        <f>SUM(N75:N77)</f>
        <v>0</v>
      </c>
      <c r="O78" s="1105">
        <f>O75+O76+O77</f>
        <v>0</v>
      </c>
      <c r="P78" s="1106">
        <f>SUM(P75:P77)</f>
        <v>0</v>
      </c>
      <c r="Q78" s="1105">
        <f t="shared" ref="Q78" si="65">Q75+Q76+Q77</f>
        <v>0</v>
      </c>
      <c r="R78" s="1106">
        <f>SUM(R75:R77)</f>
        <v>0</v>
      </c>
      <c r="S78" s="1105">
        <f t="shared" ref="S78" si="66">S75+S76+S77</f>
        <v>0</v>
      </c>
      <c r="T78" s="1106">
        <f>SUM(T75:T77)</f>
        <v>0</v>
      </c>
      <c r="U78" s="1105">
        <f t="shared" ref="U78" si="67">U75+U76+U77</f>
        <v>0</v>
      </c>
      <c r="V78" s="1106">
        <f>SUM(V75:V77)</f>
        <v>0</v>
      </c>
      <c r="W78" s="1105">
        <f t="shared" ref="W78:Y78" si="68">W75+W76+W77</f>
        <v>0</v>
      </c>
      <c r="X78" s="1106">
        <f>SUM(X75:X77)</f>
        <v>0</v>
      </c>
      <c r="Y78" s="1105">
        <f t="shared" si="68"/>
        <v>0</v>
      </c>
      <c r="Z78" s="1106">
        <f>SUM(Z75:Z77)</f>
        <v>0</v>
      </c>
      <c r="AA78" s="1105">
        <f>AA75+AA76+AA77</f>
        <v>0</v>
      </c>
      <c r="AB78" s="1106">
        <f>SUM(AB75:AB77)</f>
        <v>0</v>
      </c>
      <c r="AC78" s="1105">
        <f>AC75+AC76+AC77</f>
        <v>0</v>
      </c>
      <c r="AD78" s="1106">
        <f>SUM(AD75:AD77)</f>
        <v>0</v>
      </c>
    </row>
    <row r="79" spans="3:30" ht="16.5" thickBot="1">
      <c r="C79" s="1181" t="s">
        <v>479</v>
      </c>
      <c r="D79" s="1093" t="s">
        <v>1161</v>
      </c>
      <c r="E79" s="1094" t="s">
        <v>1132</v>
      </c>
      <c r="G79" s="771">
        <v>0</v>
      </c>
      <c r="H79" s="1106">
        <f>G79</f>
        <v>0</v>
      </c>
      <c r="I79" s="771"/>
      <c r="J79" s="1106">
        <f>I79</f>
        <v>0</v>
      </c>
      <c r="K79" s="771"/>
      <c r="L79" s="1106">
        <f>K79</f>
        <v>0</v>
      </c>
      <c r="M79" s="771"/>
      <c r="N79" s="1106">
        <f>M79</f>
        <v>0</v>
      </c>
      <c r="O79" s="771"/>
      <c r="P79" s="1106">
        <f>O79</f>
        <v>0</v>
      </c>
      <c r="Q79" s="771"/>
      <c r="R79" s="1106">
        <f>Q79</f>
        <v>0</v>
      </c>
      <c r="S79" s="771"/>
      <c r="T79" s="1106">
        <f>S79</f>
        <v>0</v>
      </c>
      <c r="U79" s="771"/>
      <c r="V79" s="1106">
        <f>U79</f>
        <v>0</v>
      </c>
      <c r="W79" s="771"/>
      <c r="X79" s="1106">
        <f>W79</f>
        <v>0</v>
      </c>
      <c r="Y79" s="771"/>
      <c r="Z79" s="1106">
        <f>Y79</f>
        <v>0</v>
      </c>
      <c r="AA79" s="771"/>
      <c r="AB79" s="1106">
        <f>AA79</f>
        <v>0</v>
      </c>
      <c r="AC79" s="771"/>
      <c r="AD79" s="1106">
        <f>AC79</f>
        <v>0</v>
      </c>
    </row>
    <row r="80" spans="3:30" ht="15.75">
      <c r="C80" s="1182" t="s">
        <v>1162</v>
      </c>
      <c r="D80" s="1095" t="s">
        <v>236</v>
      </c>
      <c r="E80" s="1089" t="s">
        <v>1132</v>
      </c>
      <c r="G80" s="771">
        <v>0</v>
      </c>
      <c r="H80" s="1104">
        <f>G80</f>
        <v>0</v>
      </c>
      <c r="I80" s="771">
        <v>0</v>
      </c>
      <c r="J80" s="1104">
        <f>I80</f>
        <v>0</v>
      </c>
      <c r="K80" s="771"/>
      <c r="L80" s="1104">
        <f>K80</f>
        <v>0</v>
      </c>
      <c r="M80" s="771"/>
      <c r="N80" s="1104">
        <f>M80</f>
        <v>0</v>
      </c>
      <c r="O80" s="771"/>
      <c r="P80" s="1104">
        <f>O80</f>
        <v>0</v>
      </c>
      <c r="Q80" s="771"/>
      <c r="R80" s="1104">
        <f>Q80</f>
        <v>0</v>
      </c>
      <c r="S80" s="771"/>
      <c r="T80" s="1104">
        <f>S80</f>
        <v>0</v>
      </c>
      <c r="U80" s="771">
        <v>0</v>
      </c>
      <c r="V80" s="1104">
        <f>U80</f>
        <v>0</v>
      </c>
      <c r="W80" s="771"/>
      <c r="X80" s="1104">
        <f>W80</f>
        <v>0</v>
      </c>
      <c r="Y80" s="771"/>
      <c r="Z80" s="1104">
        <f>Y80</f>
        <v>0</v>
      </c>
      <c r="AA80" s="771"/>
      <c r="AB80" s="1104">
        <f>AA80</f>
        <v>0</v>
      </c>
      <c r="AC80" s="771"/>
      <c r="AD80" s="1104">
        <f>AC80</f>
        <v>0</v>
      </c>
    </row>
    <row r="81" spans="3:30" ht="16.5" thickBot="1">
      <c r="C81" s="2146" t="s">
        <v>1163</v>
      </c>
      <c r="D81" s="1077" t="s">
        <v>1164</v>
      </c>
      <c r="E81" s="1096" t="s">
        <v>1173</v>
      </c>
      <c r="G81" s="771">
        <v>19634</v>
      </c>
      <c r="H81" s="1107">
        <f>G81</f>
        <v>19634</v>
      </c>
      <c r="I81" s="771"/>
      <c r="J81" s="1107">
        <f>I81</f>
        <v>0</v>
      </c>
      <c r="K81" s="771"/>
      <c r="L81" s="1107">
        <f>K81</f>
        <v>0</v>
      </c>
      <c r="M81" s="771"/>
      <c r="N81" s="1107">
        <f>M81</f>
        <v>0</v>
      </c>
      <c r="O81" s="771"/>
      <c r="P81" s="1107">
        <f>O81</f>
        <v>0</v>
      </c>
      <c r="Q81" s="771"/>
      <c r="R81" s="1107">
        <f>Q81</f>
        <v>0</v>
      </c>
      <c r="S81" s="771"/>
      <c r="T81" s="1107">
        <f>S81</f>
        <v>0</v>
      </c>
      <c r="U81" s="771"/>
      <c r="V81" s="1107">
        <f>U81</f>
        <v>0</v>
      </c>
      <c r="W81" s="771"/>
      <c r="X81" s="1107">
        <f>W81</f>
        <v>0</v>
      </c>
      <c r="Y81" s="771"/>
      <c r="Z81" s="1107">
        <f>Y81</f>
        <v>0</v>
      </c>
      <c r="AA81" s="771"/>
      <c r="AB81" s="1107">
        <f>AA81</f>
        <v>0</v>
      </c>
      <c r="AC81" s="771"/>
      <c r="AD81" s="1107">
        <f>AC81</f>
        <v>0</v>
      </c>
    </row>
    <row r="82" spans="3:30" ht="16.5" thickBot="1">
      <c r="C82" s="2147"/>
      <c r="D82" s="1079" t="s">
        <v>334</v>
      </c>
      <c r="E82" s="1097" t="s">
        <v>1166</v>
      </c>
      <c r="G82" s="1109">
        <v>2</v>
      </c>
      <c r="H82" s="1104"/>
      <c r="I82" s="1109">
        <v>0</v>
      </c>
      <c r="J82" s="1104"/>
      <c r="K82" s="1109">
        <v>0</v>
      </c>
      <c r="L82" s="1104"/>
      <c r="M82" s="1109">
        <v>0</v>
      </c>
      <c r="N82" s="1104"/>
      <c r="O82" s="1109">
        <v>0</v>
      </c>
      <c r="P82" s="1104"/>
      <c r="Q82" s="1109">
        <v>0</v>
      </c>
      <c r="R82" s="1104"/>
      <c r="S82" s="1109">
        <v>0</v>
      </c>
      <c r="T82" s="1104"/>
      <c r="U82" s="1109">
        <v>0</v>
      </c>
      <c r="V82" s="1104"/>
      <c r="W82" s="1109">
        <v>0</v>
      </c>
      <c r="X82" s="1104"/>
      <c r="Y82" s="1109"/>
      <c r="Z82" s="1104"/>
      <c r="AA82" s="1109">
        <v>0</v>
      </c>
      <c r="AB82" s="1104"/>
      <c r="AC82" s="1109">
        <v>0</v>
      </c>
      <c r="AD82" s="1104"/>
    </row>
    <row r="83" spans="3:30" ht="15.75">
      <c r="C83" s="1183" t="s">
        <v>462</v>
      </c>
      <c r="D83" s="1098" t="s">
        <v>1167</v>
      </c>
      <c r="E83" s="1099" t="s">
        <v>1167</v>
      </c>
      <c r="G83" s="1109">
        <v>0</v>
      </c>
      <c r="H83" s="1104"/>
      <c r="I83" s="1109">
        <v>0</v>
      </c>
      <c r="J83" s="1104"/>
      <c r="K83" s="1109">
        <v>0</v>
      </c>
      <c r="L83" s="1104"/>
      <c r="M83" s="1109">
        <v>0</v>
      </c>
      <c r="N83" s="1104"/>
      <c r="O83" s="1109">
        <v>0</v>
      </c>
      <c r="P83" s="1104"/>
      <c r="Q83" s="1109">
        <v>0</v>
      </c>
      <c r="R83" s="1104"/>
      <c r="S83" s="1109">
        <v>0</v>
      </c>
      <c r="T83" s="1104"/>
      <c r="U83" s="1109">
        <v>0</v>
      </c>
      <c r="V83" s="1104"/>
      <c r="W83" s="1109">
        <v>0</v>
      </c>
      <c r="X83" s="1104"/>
      <c r="Y83" s="1109"/>
      <c r="Z83" s="1104"/>
      <c r="AA83" s="1109">
        <v>0</v>
      </c>
      <c r="AB83" s="1104"/>
      <c r="AC83" s="1109">
        <v>0</v>
      </c>
      <c r="AD83" s="1104"/>
    </row>
    <row r="84" spans="3:30" ht="16.5" thickBot="1">
      <c r="C84" s="1183" t="s">
        <v>1168</v>
      </c>
      <c r="D84" s="957" t="s">
        <v>1167</v>
      </c>
      <c r="E84" s="1100" t="s">
        <v>1167</v>
      </c>
      <c r="G84" s="1110">
        <v>0</v>
      </c>
      <c r="H84" s="1111"/>
      <c r="I84" s="1110">
        <v>0</v>
      </c>
      <c r="J84" s="1111"/>
      <c r="K84" s="1110">
        <v>0</v>
      </c>
      <c r="L84" s="1111"/>
      <c r="M84" s="1110">
        <v>0</v>
      </c>
      <c r="N84" s="1111"/>
      <c r="O84" s="1110">
        <v>0</v>
      </c>
      <c r="P84" s="1111"/>
      <c r="Q84" s="1110">
        <v>0</v>
      </c>
      <c r="R84" s="1111"/>
      <c r="S84" s="1110">
        <v>0</v>
      </c>
      <c r="T84" s="1111"/>
      <c r="U84" s="1110">
        <v>0</v>
      </c>
      <c r="V84" s="1111"/>
      <c r="W84" s="1110">
        <v>0</v>
      </c>
      <c r="X84" s="1111"/>
      <c r="Y84" s="1110"/>
      <c r="Z84" s="1111"/>
      <c r="AA84" s="1110">
        <v>0</v>
      </c>
      <c r="AB84" s="1111"/>
      <c r="AC84" s="1110">
        <v>0</v>
      </c>
      <c r="AD84" s="1111"/>
    </row>
    <row r="85" spans="3:30">
      <c r="C85" s="1184"/>
      <c r="H85" s="1185">
        <f>H81+H78+H73+H65+H79+H51</f>
        <v>43017.299999999996</v>
      </c>
      <c r="J85" s="1185">
        <f>J81+J78+J73+J65+J79+J51</f>
        <v>0</v>
      </c>
      <c r="K85" s="1185"/>
      <c r="L85" s="1185">
        <f>L81+L78+L73+L65+L79+L51</f>
        <v>0</v>
      </c>
      <c r="M85" s="1185"/>
      <c r="N85" s="1185">
        <f>N81+N78+N73+N65+N79+N51</f>
        <v>0</v>
      </c>
      <c r="P85" s="1185">
        <f>P81+P78+P73+P65+P79+P51</f>
        <v>0</v>
      </c>
      <c r="R85" s="1185">
        <f>R81+R78+R73+R65+R79+R51</f>
        <v>0</v>
      </c>
      <c r="T85" s="1185">
        <f>T81+T78+T73+T65+T79+T51</f>
        <v>0</v>
      </c>
      <c r="V85" s="1185">
        <f>V81+V78+V73+V65+V79+V51</f>
        <v>0</v>
      </c>
      <c r="X85" s="1185">
        <f>X81+X78+X73+X65+X79+X51</f>
        <v>0</v>
      </c>
      <c r="Z85" s="1185">
        <f>Z81+Z78+Z73+Z65+Z79+Z51</f>
        <v>0</v>
      </c>
      <c r="AB85" s="1185">
        <f>AB81+AB78+AB73+AB65+AB79+AB51</f>
        <v>0</v>
      </c>
      <c r="AD85" s="1186">
        <f>AD81+AD78+AD73+AD65+AD79+AD51</f>
        <v>0</v>
      </c>
    </row>
    <row r="86" spans="3:30">
      <c r="C86" s="1184"/>
      <c r="J86"/>
      <c r="AD86" s="1062"/>
    </row>
    <row r="87" spans="3:30" ht="15.75" thickBot="1">
      <c r="C87" s="1187"/>
      <c r="D87" s="1188"/>
      <c r="E87" s="1069"/>
      <c r="F87" s="1069"/>
      <c r="G87" s="1069"/>
      <c r="H87" s="1189">
        <f>H85/1000</f>
        <v>43.017299999999999</v>
      </c>
      <c r="I87" s="1069"/>
      <c r="J87" s="1189">
        <f>J85/1000</f>
        <v>0</v>
      </c>
      <c r="K87" s="1069"/>
      <c r="L87" s="1189">
        <f>L85/1000</f>
        <v>0</v>
      </c>
      <c r="M87" s="1069"/>
      <c r="N87" s="1189">
        <f>N85/1000</f>
        <v>0</v>
      </c>
      <c r="O87" s="1069"/>
      <c r="P87" s="1189">
        <f>P85/1000</f>
        <v>0</v>
      </c>
      <c r="Q87" s="1069"/>
      <c r="R87" s="1189">
        <f>R85/1000</f>
        <v>0</v>
      </c>
      <c r="S87" s="1069"/>
      <c r="T87" s="1189">
        <f>T85/1000</f>
        <v>0</v>
      </c>
      <c r="U87" s="1069"/>
      <c r="V87" s="1189">
        <f>V85/1000</f>
        <v>0</v>
      </c>
      <c r="W87" s="1069"/>
      <c r="X87" s="1189">
        <f>X85/1000</f>
        <v>0</v>
      </c>
      <c r="Y87" s="1069"/>
      <c r="Z87" s="1189">
        <f>Z85/1000</f>
        <v>0</v>
      </c>
      <c r="AA87" s="1069"/>
      <c r="AB87" s="1189">
        <f>AB85/1000</f>
        <v>0</v>
      </c>
      <c r="AC87" s="1069"/>
      <c r="AD87" s="1190">
        <f>AD85/1000</f>
        <v>0</v>
      </c>
    </row>
  </sheetData>
  <mergeCells count="17">
    <mergeCell ref="C67:C74"/>
    <mergeCell ref="D73:D74"/>
    <mergeCell ref="C75:C78"/>
    <mergeCell ref="C81:C82"/>
    <mergeCell ref="C52:C66"/>
    <mergeCell ref="D65:D66"/>
    <mergeCell ref="C1:E1"/>
    <mergeCell ref="C37:C38"/>
    <mergeCell ref="C2:E2"/>
    <mergeCell ref="C46:E46"/>
    <mergeCell ref="C48:C51"/>
    <mergeCell ref="C4:C7"/>
    <mergeCell ref="C8:C22"/>
    <mergeCell ref="D21:D22"/>
    <mergeCell ref="C23:C30"/>
    <mergeCell ref="D29:D30"/>
    <mergeCell ref="C31:C34"/>
  </mergeCells>
  <conditionalFormatting sqref="G4:G6 G8:G40">
    <cfRule type="cellIs" dxfId="27" priority="52" operator="greaterThan">
      <formula>0</formula>
    </cfRule>
  </conditionalFormatting>
  <conditionalFormatting sqref="G79:G84">
    <cfRule type="cellIs" dxfId="26" priority="16" operator="greaterThan">
      <formula>0</formula>
    </cfRule>
  </conditionalFormatting>
  <conditionalFormatting sqref="I4:I6">
    <cfRule type="cellIs" dxfId="25" priority="28" operator="greaterThan">
      <formula>0</formula>
    </cfRule>
  </conditionalFormatting>
  <conditionalFormatting sqref="I8:I40">
    <cfRule type="cellIs" dxfId="24" priority="17" operator="greaterThan">
      <formula>0</formula>
    </cfRule>
  </conditionalFormatting>
  <conditionalFormatting sqref="I48:I50">
    <cfRule type="cellIs" dxfId="23" priority="15" operator="greaterThan">
      <formula>0</formula>
    </cfRule>
  </conditionalFormatting>
  <conditionalFormatting sqref="I52:I84">
    <cfRule type="cellIs" dxfId="22" priority="4" operator="greaterThan">
      <formula>0</formula>
    </cfRule>
  </conditionalFormatting>
  <conditionalFormatting sqref="K4:K6 K8:K40">
    <cfRule type="cellIs" dxfId="21" priority="27" operator="greaterThan">
      <formula>0</formula>
    </cfRule>
  </conditionalFormatting>
  <conditionalFormatting sqref="K48:K50 K52:K84">
    <cfRule type="cellIs" dxfId="20" priority="14" operator="greaterThan">
      <formula>0</formula>
    </cfRule>
  </conditionalFormatting>
  <conditionalFormatting sqref="M4:M6 M8:M40">
    <cfRule type="cellIs" dxfId="19" priority="26" operator="greaterThan">
      <formula>0</formula>
    </cfRule>
  </conditionalFormatting>
  <conditionalFormatting sqref="M48:M50 M52:M84">
    <cfRule type="cellIs" dxfId="18" priority="13" operator="greaterThan">
      <formula>0</formula>
    </cfRule>
  </conditionalFormatting>
  <conditionalFormatting sqref="O4:O6 O8:O40">
    <cfRule type="cellIs" dxfId="17" priority="25" operator="greaterThan">
      <formula>0</formula>
    </cfRule>
  </conditionalFormatting>
  <conditionalFormatting sqref="O48:O50 O52:O84">
    <cfRule type="cellIs" dxfId="16" priority="12" operator="greaterThan">
      <formula>0</formula>
    </cfRule>
  </conditionalFormatting>
  <conditionalFormatting sqref="Q4:Q6 Q8:Q40">
    <cfRule type="cellIs" dxfId="15" priority="24" operator="greaterThan">
      <formula>0</formula>
    </cfRule>
  </conditionalFormatting>
  <conditionalFormatting sqref="Q48:Q50 Q52:Q84">
    <cfRule type="cellIs" dxfId="14" priority="11" operator="greaterThan">
      <formula>0</formula>
    </cfRule>
  </conditionalFormatting>
  <conditionalFormatting sqref="S4:S6 S8:S40">
    <cfRule type="cellIs" dxfId="13" priority="23" operator="greaterThan">
      <formula>0</formula>
    </cfRule>
  </conditionalFormatting>
  <conditionalFormatting sqref="S48:S50 S52:S84">
    <cfRule type="cellIs" dxfId="12" priority="10" operator="greaterThan">
      <formula>0</formula>
    </cfRule>
  </conditionalFormatting>
  <conditionalFormatting sqref="U4:U6 U8:U40">
    <cfRule type="cellIs" dxfId="11" priority="22" operator="greaterThan">
      <formula>0</formula>
    </cfRule>
  </conditionalFormatting>
  <conditionalFormatting sqref="U48:U50 U52:U84">
    <cfRule type="cellIs" dxfId="10" priority="9" operator="greaterThan">
      <formula>0</formula>
    </cfRule>
  </conditionalFormatting>
  <conditionalFormatting sqref="W4:W6 W8:W40">
    <cfRule type="cellIs" dxfId="9" priority="21" operator="greaterThan">
      <formula>0</formula>
    </cfRule>
  </conditionalFormatting>
  <conditionalFormatting sqref="W48:W50 W52:W84">
    <cfRule type="cellIs" dxfId="8" priority="8" operator="greaterThan">
      <formula>0</formula>
    </cfRule>
  </conditionalFormatting>
  <conditionalFormatting sqref="Y4:Y6 Y8:Y40">
    <cfRule type="cellIs" dxfId="7" priority="20" operator="greaterThan">
      <formula>0</formula>
    </cfRule>
  </conditionalFormatting>
  <conditionalFormatting sqref="Y48:Y50">
    <cfRule type="cellIs" dxfId="6" priority="7" operator="greaterThan">
      <formula>0</formula>
    </cfRule>
  </conditionalFormatting>
  <conditionalFormatting sqref="Y52:Y84">
    <cfRule type="cellIs" dxfId="5" priority="2" operator="greaterThan">
      <formula>0</formula>
    </cfRule>
  </conditionalFormatting>
  <conditionalFormatting sqref="AA4:AA6 AA8:AA40">
    <cfRule type="cellIs" dxfId="4" priority="19" operator="greaterThan">
      <formula>0</formula>
    </cfRule>
  </conditionalFormatting>
  <conditionalFormatting sqref="AA48:AA50 AA52:AA84">
    <cfRule type="cellIs" dxfId="3" priority="6" operator="greaterThan">
      <formula>0</formula>
    </cfRule>
  </conditionalFormatting>
  <conditionalFormatting sqref="AC4:AC6 AC8:AC40">
    <cfRule type="cellIs" dxfId="2" priority="18" operator="greaterThan">
      <formula>0</formula>
    </cfRule>
  </conditionalFormatting>
  <conditionalFormatting sqref="AC48:AC50">
    <cfRule type="cellIs" dxfId="1" priority="5" operator="greaterThan">
      <formula>0</formula>
    </cfRule>
  </conditionalFormatting>
  <conditionalFormatting sqref="AC52:AC84">
    <cfRule type="cellIs" dxfId="0" priority="1" operator="greaterThan">
      <formula>0</formula>
    </cfRule>
  </conditionalFormatting>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E4FB5-C81E-40DF-AD15-0EF96D02B58A}">
  <dimension ref="A2:U40"/>
  <sheetViews>
    <sheetView showGridLines="0" zoomScaleNormal="100" workbookViewId="0">
      <selection activeCell="I17" sqref="I17"/>
    </sheetView>
  </sheetViews>
  <sheetFormatPr defaultRowHeight="15"/>
  <cols>
    <col min="1" max="1" width="52.5703125" bestFit="1" customWidth="1"/>
    <col min="2" max="2" width="1.42578125" customWidth="1"/>
    <col min="9" max="10" width="9.5703125" bestFit="1" customWidth="1"/>
    <col min="11" max="11" width="13.85546875" bestFit="1" customWidth="1"/>
    <col min="12" max="12" width="15.140625" bestFit="1" customWidth="1"/>
    <col min="13" max="13" width="10.85546875" bestFit="1" customWidth="1"/>
    <col min="14" max="14" width="13.42578125" bestFit="1" customWidth="1"/>
    <col min="15" max="15" width="11.140625" bestFit="1" customWidth="1"/>
    <col min="20" max="20" width="2.140625" customWidth="1"/>
  </cols>
  <sheetData>
    <row r="2" spans="1:21" ht="15.75" thickBot="1"/>
    <row r="3" spans="1:21" ht="19.5" thickBot="1">
      <c r="C3" s="2091" t="s">
        <v>1174</v>
      </c>
      <c r="D3" s="2092"/>
      <c r="E3" s="2092"/>
      <c r="F3" s="2092"/>
      <c r="G3" s="2092"/>
      <c r="H3" s="2092"/>
      <c r="I3" s="2092"/>
      <c r="J3" s="2092"/>
      <c r="K3" s="2092"/>
      <c r="L3" s="2092"/>
      <c r="M3" s="2092"/>
      <c r="N3" s="2092"/>
      <c r="O3" s="2092"/>
      <c r="P3" s="2092"/>
      <c r="Q3" s="2092"/>
      <c r="R3" s="2092"/>
      <c r="S3" s="2094"/>
    </row>
    <row r="4" spans="1:21" ht="15.75" thickBot="1">
      <c r="C4" s="2155"/>
      <c r="D4" s="2157" t="s">
        <v>1175</v>
      </c>
      <c r="E4" s="2158"/>
      <c r="F4" s="2158"/>
      <c r="G4" s="2158"/>
      <c r="H4" s="2158"/>
      <c r="I4" s="2158"/>
      <c r="J4" s="2158"/>
      <c r="K4" s="2158"/>
      <c r="L4" s="2158"/>
      <c r="M4" s="2158"/>
      <c r="N4" s="2158"/>
      <c r="O4" s="2158"/>
      <c r="P4" s="2158"/>
      <c r="Q4" s="2158"/>
      <c r="R4" s="2158"/>
      <c r="S4" s="2159"/>
    </row>
    <row r="5" spans="1:21" ht="15.75" thickBot="1">
      <c r="C5" s="2156"/>
      <c r="D5" s="2160" t="s">
        <v>1176</v>
      </c>
      <c r="E5" s="2161"/>
      <c r="F5" s="2161"/>
      <c r="G5" s="2161"/>
      <c r="H5" s="2161"/>
      <c r="I5" s="2161"/>
      <c r="J5" s="2062"/>
      <c r="K5" s="2062"/>
      <c r="L5" s="2162"/>
      <c r="M5" s="2157" t="s">
        <v>38</v>
      </c>
      <c r="N5" s="2159"/>
      <c r="O5" s="2158"/>
      <c r="P5" s="2159"/>
      <c r="Q5" s="2157" t="s">
        <v>1177</v>
      </c>
      <c r="R5" s="2158"/>
      <c r="S5" s="2159"/>
    </row>
    <row r="6" spans="1:21" ht="30.75" thickBot="1">
      <c r="A6" s="880" t="s">
        <v>338</v>
      </c>
      <c r="C6" s="1114" t="s">
        <v>121</v>
      </c>
      <c r="D6" s="1115" t="s">
        <v>476</v>
      </c>
      <c r="E6" s="1116" t="s">
        <v>221</v>
      </c>
      <c r="F6" s="1116" t="s">
        <v>477</v>
      </c>
      <c r="G6" s="1116" t="s">
        <v>478</v>
      </c>
      <c r="H6" s="1116" t="s">
        <v>479</v>
      </c>
      <c r="I6" s="1117" t="s">
        <v>1178</v>
      </c>
      <c r="J6" s="1118" t="s">
        <v>334</v>
      </c>
      <c r="K6" s="1119" t="s">
        <v>1179</v>
      </c>
      <c r="L6" s="1120" t="s">
        <v>1180</v>
      </c>
      <c r="M6" s="1121" t="s">
        <v>1181</v>
      </c>
      <c r="N6" s="1122" t="s">
        <v>1182</v>
      </c>
      <c r="O6" s="1123" t="s">
        <v>1183</v>
      </c>
      <c r="P6" s="1124" t="s">
        <v>1184</v>
      </c>
      <c r="Q6" s="1125" t="s">
        <v>236</v>
      </c>
      <c r="R6" s="1126" t="s">
        <v>1185</v>
      </c>
      <c r="S6" s="1127" t="s">
        <v>1186</v>
      </c>
    </row>
    <row r="7" spans="1:21">
      <c r="A7" t="s">
        <v>1187</v>
      </c>
      <c r="C7" s="1128" t="s">
        <v>278</v>
      </c>
      <c r="D7" s="1129">
        <f>'Wastage Raw Data'!H7</f>
        <v>5979.5</v>
      </c>
      <c r="E7" s="1130">
        <f>'Wastage Raw Data'!H21</f>
        <v>5040</v>
      </c>
      <c r="F7" s="1130">
        <f>'Wastage Raw Data'!H29</f>
        <v>6411.8</v>
      </c>
      <c r="G7" s="1130">
        <f>'Wastage Raw Data'!H34</f>
        <v>8853.2999999999993</v>
      </c>
      <c r="H7" s="1130">
        <f>'Wastage Raw Data'!H35</f>
        <v>0</v>
      </c>
      <c r="I7" s="1131">
        <f>'Wastage Raw Data'!H37</f>
        <v>9000</v>
      </c>
      <c r="J7" s="1132">
        <f>SUM(D7:I7)</f>
        <v>35284.6</v>
      </c>
      <c r="K7" s="1133">
        <f t="shared" ref="K7:K18" si="0">SUM(D7:H7)</f>
        <v>26284.6</v>
      </c>
      <c r="L7" s="1134">
        <f>I7</f>
        <v>9000</v>
      </c>
      <c r="M7" s="1135">
        <f>K7/J7</f>
        <v>0.74493121645136973</v>
      </c>
      <c r="N7" s="1136">
        <f>L7/J7</f>
        <v>0.25506878354863027</v>
      </c>
      <c r="O7" s="1137">
        <f>'Production-Ciospi'!Y5</f>
        <v>157258.49583333332</v>
      </c>
      <c r="P7" s="1138">
        <f>(J7*1000)/O7</f>
        <v>224.37325127028777</v>
      </c>
      <c r="Q7" s="1139">
        <f>'Food Wastage'!J5</f>
        <v>373</v>
      </c>
      <c r="R7" s="1140">
        <f>People!AK27</f>
        <v>817</v>
      </c>
      <c r="S7" s="1141">
        <f>(Q7*1000)/R7</f>
        <v>456.54834761321911</v>
      </c>
      <c r="T7" s="1102"/>
      <c r="U7" s="1178">
        <f t="shared" ref="U7:U18" si="1">J7/1000</f>
        <v>35.284599999999998</v>
      </c>
    </row>
    <row r="8" spans="1:21">
      <c r="A8" t="s">
        <v>1188</v>
      </c>
      <c r="C8" s="940" t="s">
        <v>279</v>
      </c>
      <c r="D8" s="1142">
        <f>'Wastage Raw Data'!J7</f>
        <v>4480.1000000000004</v>
      </c>
      <c r="E8" s="1143">
        <f>'Wastage Raw Data'!J21</f>
        <v>2156.6999999999998</v>
      </c>
      <c r="F8" s="1143">
        <f>'Wastage Raw Data'!J29</f>
        <v>3640</v>
      </c>
      <c r="G8" s="1143">
        <f>'Wastage Raw Data'!J34</f>
        <v>9500</v>
      </c>
      <c r="H8" s="1143">
        <f>'Wastage Raw Data'!J35</f>
        <v>2199.6</v>
      </c>
      <c r="I8" s="1144">
        <f>'Wastage Raw Data'!J37</f>
        <v>9000</v>
      </c>
      <c r="J8" s="1145">
        <f t="shared" ref="J8:J18" si="2">SUM(D8:I8)</f>
        <v>30976.399999999998</v>
      </c>
      <c r="K8" s="1146">
        <f t="shared" si="0"/>
        <v>21976.399999999998</v>
      </c>
      <c r="L8" s="1147">
        <f>I8</f>
        <v>9000</v>
      </c>
      <c r="M8" s="1148">
        <f>K8/J8</f>
        <v>0.70945623119536161</v>
      </c>
      <c r="N8" s="1149">
        <f t="shared" ref="N8:N18" si="3">L8/J8</f>
        <v>0.29054376880463839</v>
      </c>
      <c r="O8" s="1137">
        <f>'Production-Ciospi'!Y6</f>
        <v>162692.98000000001</v>
      </c>
      <c r="P8" s="1138">
        <f t="shared" ref="P8:P17" si="4">(J8*1000)/O8</f>
        <v>190.39788932503416</v>
      </c>
      <c r="Q8" s="1139">
        <f>'Food Wastage'!J6</f>
        <v>218</v>
      </c>
      <c r="R8" s="1140">
        <f>People!AK28</f>
        <v>811</v>
      </c>
      <c r="S8" s="1141">
        <f>(Q8*1000)/R8</f>
        <v>268.80394574599262</v>
      </c>
      <c r="T8" s="1102"/>
      <c r="U8" s="1178">
        <f t="shared" si="1"/>
        <v>30.976399999999998</v>
      </c>
    </row>
    <row r="9" spans="1:21">
      <c r="A9" t="s">
        <v>1189</v>
      </c>
      <c r="C9" s="940" t="s">
        <v>280</v>
      </c>
      <c r="D9" s="1142">
        <f>'Wastage Raw Data'!L7</f>
        <v>3473.7</v>
      </c>
      <c r="E9" s="1143">
        <f>'Wastage Raw Data'!L21</f>
        <v>6853.8</v>
      </c>
      <c r="F9" s="1143">
        <f>'Wastage Raw Data'!L29</f>
        <v>1904</v>
      </c>
      <c r="G9" s="1143">
        <f>'Wastage Raw Data'!L34</f>
        <v>7998.3</v>
      </c>
      <c r="H9" s="1143">
        <f>'Wastage Raw Data'!L35</f>
        <v>1800</v>
      </c>
      <c r="I9" s="1150">
        <f>'Wastage Raw Data'!L37</f>
        <v>12528</v>
      </c>
      <c r="J9" s="1145">
        <f t="shared" si="2"/>
        <v>34557.800000000003</v>
      </c>
      <c r="K9" s="1146">
        <f t="shared" si="0"/>
        <v>22029.8</v>
      </c>
      <c r="L9" s="1147">
        <f t="shared" ref="L9:L18" si="5">I9</f>
        <v>12528</v>
      </c>
      <c r="M9" s="1148">
        <f t="shared" ref="M9:M18" si="6">K9/J9</f>
        <v>0.63747692272077494</v>
      </c>
      <c r="N9" s="1149">
        <f t="shared" si="3"/>
        <v>0.36252307727922495</v>
      </c>
      <c r="O9" s="1137">
        <f>'Production-Ciospi'!Y7</f>
        <v>150371.86333333334</v>
      </c>
      <c r="P9" s="1138">
        <f t="shared" si="4"/>
        <v>229.81560003279867</v>
      </c>
      <c r="Q9" s="1139">
        <f>'Food Wastage'!J7</f>
        <v>158</v>
      </c>
      <c r="R9" s="1140">
        <f>People!AK29</f>
        <v>802</v>
      </c>
      <c r="S9" s="1141">
        <f t="shared" ref="S9:S18" si="7">(Q9*1000)/R9</f>
        <v>197.0074812967581</v>
      </c>
      <c r="T9" s="1102"/>
      <c r="U9" s="1178">
        <f t="shared" si="1"/>
        <v>34.5578</v>
      </c>
    </row>
    <row r="10" spans="1:21">
      <c r="A10" t="s">
        <v>1190</v>
      </c>
      <c r="C10" s="940" t="s">
        <v>281</v>
      </c>
      <c r="D10" s="1142">
        <f>'Wastage Raw Data'!N7</f>
        <v>4894</v>
      </c>
      <c r="E10" s="1143">
        <f>'Wastage Raw Data'!N21</f>
        <v>6771.8</v>
      </c>
      <c r="F10" s="1143">
        <f>'Wastage Raw Data'!N29</f>
        <v>8276</v>
      </c>
      <c r="G10" s="1143">
        <f>'Wastage Raw Data'!N34</f>
        <v>8001</v>
      </c>
      <c r="H10" s="1143">
        <f>'Wastage Raw Data'!N35</f>
        <v>1400</v>
      </c>
      <c r="I10" s="1150">
        <f>'Wastage Raw Data'!N37</f>
        <v>17030</v>
      </c>
      <c r="J10" s="1145">
        <f t="shared" si="2"/>
        <v>46372.800000000003</v>
      </c>
      <c r="K10" s="1146">
        <f t="shared" si="0"/>
        <v>29342.799999999999</v>
      </c>
      <c r="L10" s="1147">
        <f t="shared" si="5"/>
        <v>17030</v>
      </c>
      <c r="M10" s="1148">
        <f t="shared" si="6"/>
        <v>0.63275885864127246</v>
      </c>
      <c r="N10" s="1149">
        <f t="shared" si="3"/>
        <v>0.36724114135872749</v>
      </c>
      <c r="O10" s="1137">
        <f>'Production-Ciospi'!Y8</f>
        <v>175263.78333333335</v>
      </c>
      <c r="P10" s="1138">
        <f t="shared" si="4"/>
        <v>264.58860534696885</v>
      </c>
      <c r="Q10" s="1139">
        <f>'Food Wastage'!J8</f>
        <v>97</v>
      </c>
      <c r="R10" s="1140">
        <f>People!AK30</f>
        <v>843</v>
      </c>
      <c r="S10" s="1141">
        <f t="shared" si="7"/>
        <v>115.06524317912218</v>
      </c>
      <c r="U10" s="1178">
        <f t="shared" si="1"/>
        <v>46.372800000000005</v>
      </c>
    </row>
    <row r="11" spans="1:21">
      <c r="C11" s="940" t="s">
        <v>132</v>
      </c>
      <c r="D11" s="1142">
        <f>'Wastage Raw Data'!P7</f>
        <v>3993.5</v>
      </c>
      <c r="E11" s="1143">
        <f>'Wastage Raw Data'!P21</f>
        <v>4920.3999999999996</v>
      </c>
      <c r="F11" s="1143">
        <f>'Wastage Raw Data'!P29</f>
        <v>6730.4</v>
      </c>
      <c r="G11" s="1143">
        <f>'Wastage Raw Data'!P34</f>
        <v>8994.6</v>
      </c>
      <c r="H11" s="1143">
        <f>'Wastage Raw Data'!P35</f>
        <v>2200</v>
      </c>
      <c r="I11" s="1144">
        <f>'Wastage Raw Data'!P37</f>
        <v>13882</v>
      </c>
      <c r="J11" s="1145">
        <f t="shared" si="2"/>
        <v>40720.9</v>
      </c>
      <c r="K11" s="1146">
        <f t="shared" si="0"/>
        <v>26838.9</v>
      </c>
      <c r="L11" s="1147">
        <f t="shared" si="5"/>
        <v>13882</v>
      </c>
      <c r="M11" s="1148">
        <f t="shared" si="6"/>
        <v>0.65909397876765985</v>
      </c>
      <c r="N11" s="1149">
        <f t="shared" si="3"/>
        <v>0.34090602123234015</v>
      </c>
      <c r="O11" s="1137">
        <f>'Production-Ciospi'!Y9</f>
        <v>211660.26333333334</v>
      </c>
      <c r="P11" s="1138">
        <f t="shared" si="4"/>
        <v>192.38802484087748</v>
      </c>
      <c r="Q11" s="1139">
        <f>'Food Wastage'!J9</f>
        <v>255</v>
      </c>
      <c r="R11" s="1140">
        <f>People!AK31</f>
        <v>898</v>
      </c>
      <c r="S11" s="1141">
        <f t="shared" si="7"/>
        <v>283.96436525612472</v>
      </c>
      <c r="U11" s="1178">
        <f t="shared" si="1"/>
        <v>40.7209</v>
      </c>
    </row>
    <row r="12" spans="1:21">
      <c r="C12" s="940" t="s">
        <v>282</v>
      </c>
      <c r="D12" s="1142">
        <f>'Wastage Raw Data'!R7</f>
        <v>4202</v>
      </c>
      <c r="E12" s="1151">
        <f>'Wastage Raw Data'!R21</f>
        <v>2390.1</v>
      </c>
      <c r="F12" s="1143">
        <f>'Wastage Raw Data'!R29</f>
        <v>3616</v>
      </c>
      <c r="G12" s="1143">
        <f>'Wastage Raw Data'!R34</f>
        <v>17992</v>
      </c>
      <c r="H12" s="1143">
        <f>'Wastage Raw Data'!R35</f>
        <v>2496</v>
      </c>
      <c r="I12" s="1144">
        <f>'Wastage Raw Data'!R37</f>
        <v>24850</v>
      </c>
      <c r="J12" s="1145">
        <f t="shared" si="2"/>
        <v>55546.1</v>
      </c>
      <c r="K12" s="1146">
        <f t="shared" si="0"/>
        <v>30696.1</v>
      </c>
      <c r="L12" s="1147">
        <f t="shared" si="5"/>
        <v>24850</v>
      </c>
      <c r="M12" s="1148">
        <f t="shared" si="6"/>
        <v>0.55262385658038993</v>
      </c>
      <c r="N12" s="1149">
        <f t="shared" si="3"/>
        <v>0.44737614341961002</v>
      </c>
      <c r="O12" s="1137">
        <f>'Production-Ciospi'!Y10</f>
        <v>194768.66666666666</v>
      </c>
      <c r="P12" s="1138">
        <f t="shared" si="4"/>
        <v>285.1901229835052</v>
      </c>
      <c r="Q12" s="1139">
        <f>'Food Wastage'!J10</f>
        <v>232</v>
      </c>
      <c r="R12" s="1140">
        <f>People!AK32</f>
        <v>926</v>
      </c>
      <c r="S12" s="1141">
        <f t="shared" si="7"/>
        <v>250.53995680345574</v>
      </c>
      <c r="U12" s="1178">
        <f t="shared" si="1"/>
        <v>55.546099999999996</v>
      </c>
    </row>
    <row r="13" spans="1:21">
      <c r="C13" s="940" t="s">
        <v>283</v>
      </c>
      <c r="D13" s="1142">
        <f>'Wastage Raw Data'!T7</f>
        <v>4500.6000000000004</v>
      </c>
      <c r="E13" s="1152">
        <f>'Wastage Raw Data'!T21</f>
        <v>1196.9000000000001</v>
      </c>
      <c r="F13" s="1143">
        <f>'Wastage Raw Data'!T29</f>
        <v>4160</v>
      </c>
      <c r="G13" s="1143">
        <f>'Wastage Raw Data'!T34</f>
        <v>9100.1</v>
      </c>
      <c r="H13" s="1143">
        <f>'Wastage Raw Data'!T35</f>
        <v>2400</v>
      </c>
      <c r="I13" s="1144">
        <f>'Wastage Raw Data'!T37</f>
        <v>22966</v>
      </c>
      <c r="J13" s="1145">
        <f t="shared" si="2"/>
        <v>44323.6</v>
      </c>
      <c r="K13" s="1146">
        <f t="shared" si="0"/>
        <v>21357.599999999999</v>
      </c>
      <c r="L13" s="1147">
        <f t="shared" si="5"/>
        <v>22966</v>
      </c>
      <c r="M13" s="1148">
        <f t="shared" si="6"/>
        <v>0.4818561669178496</v>
      </c>
      <c r="N13" s="1149">
        <f t="shared" si="3"/>
        <v>0.5181438330821504</v>
      </c>
      <c r="O13" s="1137">
        <f>'Production-Ciospi'!Y11</f>
        <v>175411.07666666666</v>
      </c>
      <c r="P13" s="1138">
        <f t="shared" si="4"/>
        <v>252.68415679488731</v>
      </c>
      <c r="Q13" s="1139">
        <f>'Food Wastage'!J11</f>
        <v>300</v>
      </c>
      <c r="R13" s="1140">
        <f>People!AK33</f>
        <v>861</v>
      </c>
      <c r="S13" s="1141">
        <f t="shared" si="7"/>
        <v>348.43205574912889</v>
      </c>
      <c r="U13" s="1178">
        <f t="shared" si="1"/>
        <v>44.323599999999999</v>
      </c>
    </row>
    <row r="14" spans="1:21">
      <c r="C14" s="940" t="s">
        <v>284</v>
      </c>
      <c r="D14" s="1142">
        <f>'Wastage Raw Data'!V7</f>
        <v>5597.2000000000007</v>
      </c>
      <c r="E14" s="1153">
        <f>'Wastage Raw Data'!V21</f>
        <v>1387.1999999999998</v>
      </c>
      <c r="F14" s="1143">
        <f>'Wastage Raw Data'!V29</f>
        <v>3728</v>
      </c>
      <c r="G14" s="1143">
        <f>'Wastage Raw Data'!V34</f>
        <v>18013.599999999999</v>
      </c>
      <c r="H14" s="1143">
        <f>'Wastage Raw Data'!V35</f>
        <v>2499.1999999999998</v>
      </c>
      <c r="I14" s="1144">
        <f>'Wastage Raw Data'!V37</f>
        <v>22606</v>
      </c>
      <c r="J14" s="1145">
        <f t="shared" si="2"/>
        <v>53831.199999999997</v>
      </c>
      <c r="K14" s="1146">
        <f t="shared" si="0"/>
        <v>31225.200000000001</v>
      </c>
      <c r="L14" s="1147">
        <f t="shared" si="5"/>
        <v>22606</v>
      </c>
      <c r="M14" s="1148">
        <f t="shared" si="6"/>
        <v>0.58005766172777129</v>
      </c>
      <c r="N14" s="1149">
        <f t="shared" si="3"/>
        <v>0.41994233827222877</v>
      </c>
      <c r="O14" s="1137">
        <f>'Production-Ciospi'!Y12</f>
        <v>160336.92333333334</v>
      </c>
      <c r="P14" s="1138">
        <f t="shared" si="4"/>
        <v>335.73801268524608</v>
      </c>
      <c r="Q14" s="1139">
        <f>'Food Wastage'!J12</f>
        <v>274</v>
      </c>
      <c r="R14" s="1140">
        <f>People!AK34</f>
        <v>842</v>
      </c>
      <c r="S14" s="1141">
        <f t="shared" si="7"/>
        <v>325.41567695961993</v>
      </c>
      <c r="U14" s="1178">
        <f t="shared" si="1"/>
        <v>53.831199999999995</v>
      </c>
    </row>
    <row r="15" spans="1:21">
      <c r="C15" s="940" t="s">
        <v>285</v>
      </c>
      <c r="D15" s="1142">
        <f>'Wastage Raw Data'!X7</f>
        <v>3991</v>
      </c>
      <c r="E15" s="1143">
        <f>'Wastage Raw Data'!X21</f>
        <v>0</v>
      </c>
      <c r="F15" s="1143">
        <f>'Wastage Raw Data'!X29</f>
        <v>3808</v>
      </c>
      <c r="G15" s="1153">
        <f>'Wastage Raw Data'!X34</f>
        <v>29903.800000000003</v>
      </c>
      <c r="H15" s="1143">
        <f>'Wastage Raw Data'!X35</f>
        <v>0</v>
      </c>
      <c r="I15" s="1144">
        <f>'Wastage Raw Data'!X37</f>
        <v>13782</v>
      </c>
      <c r="J15" s="1145">
        <f t="shared" si="2"/>
        <v>51484.800000000003</v>
      </c>
      <c r="K15" s="1146">
        <f t="shared" si="0"/>
        <v>37702.800000000003</v>
      </c>
      <c r="L15" s="1147">
        <f t="shared" si="5"/>
        <v>13782</v>
      </c>
      <c r="M15" s="1148">
        <f t="shared" si="6"/>
        <v>0.73230934178631368</v>
      </c>
      <c r="N15" s="1149">
        <f t="shared" si="3"/>
        <v>0.26769065821368637</v>
      </c>
      <c r="O15" s="1137">
        <f>'Production-Ciospi'!Y13</f>
        <v>131074.92462499999</v>
      </c>
      <c r="P15" s="1138">
        <f t="shared" si="4"/>
        <v>392.78908721325541</v>
      </c>
      <c r="Q15" s="1139">
        <f>'Food Wastage'!J13</f>
        <v>313</v>
      </c>
      <c r="R15" s="1140">
        <f>People!AK35</f>
        <v>830</v>
      </c>
      <c r="S15" s="1141">
        <f t="shared" si="7"/>
        <v>377.10843373493975</v>
      </c>
      <c r="U15" s="1178">
        <f t="shared" si="1"/>
        <v>51.4848</v>
      </c>
    </row>
    <row r="16" spans="1:21">
      <c r="C16" s="940" t="s">
        <v>286</v>
      </c>
      <c r="D16" s="1142">
        <f>'Wastage Raw Data'!Z7</f>
        <v>3242.1000000000004</v>
      </c>
      <c r="E16" s="1143">
        <f>'Wastage Raw Data'!Z21</f>
        <v>1283.5999999999999</v>
      </c>
      <c r="F16" s="1143">
        <f>'Wastage Raw Data'!Z29</f>
        <v>3200</v>
      </c>
      <c r="G16" s="1143">
        <f>'Wastage Raw Data'!Z34</f>
        <v>34964.5</v>
      </c>
      <c r="H16" s="1143">
        <f>'Wastage Raw Data'!Z35</f>
        <v>0</v>
      </c>
      <c r="I16" s="1144">
        <f>'Wastage Raw Data'!Z37</f>
        <v>15542</v>
      </c>
      <c r="J16" s="1145">
        <f t="shared" si="2"/>
        <v>58232.2</v>
      </c>
      <c r="K16" s="1146">
        <f t="shared" si="0"/>
        <v>42690.2</v>
      </c>
      <c r="L16" s="1147">
        <f t="shared" si="5"/>
        <v>15542</v>
      </c>
      <c r="M16" s="1148">
        <f t="shared" si="6"/>
        <v>0.73310299112861954</v>
      </c>
      <c r="N16" s="1149">
        <f t="shared" si="3"/>
        <v>0.26689700887138046</v>
      </c>
      <c r="O16" s="1137">
        <f>'Production-Ciospi'!Y14</f>
        <v>157888.54999999999</v>
      </c>
      <c r="P16" s="1138">
        <f t="shared" si="4"/>
        <v>368.81838486704709</v>
      </c>
      <c r="Q16" s="1139">
        <f>'Food Wastage'!J14</f>
        <v>463</v>
      </c>
      <c r="R16" s="1140">
        <f>People!AK36</f>
        <v>829</v>
      </c>
      <c r="S16" s="1141">
        <f t="shared" si="7"/>
        <v>558.50422195416161</v>
      </c>
      <c r="U16" s="1178">
        <f t="shared" si="1"/>
        <v>58.232199999999999</v>
      </c>
    </row>
    <row r="17" spans="3:21">
      <c r="C17" s="940" t="s">
        <v>287</v>
      </c>
      <c r="D17" s="1142">
        <f>'Wastage Raw Data'!AB7</f>
        <v>0</v>
      </c>
      <c r="E17" s="1143">
        <f>'Wastage Raw Data'!AB21</f>
        <v>100</v>
      </c>
      <c r="F17" s="1143">
        <f>'Wastage Raw Data'!AB29</f>
        <v>10430.800000000001</v>
      </c>
      <c r="G17" s="1143">
        <f>'Wastage Raw Data'!AB34</f>
        <v>9985.7000000000007</v>
      </c>
      <c r="H17" s="1143">
        <f>'Wastage Raw Data'!AB35</f>
        <v>2695.45</v>
      </c>
      <c r="I17" s="1144">
        <f>'Wastage Raw Data'!AB37</f>
        <v>13670</v>
      </c>
      <c r="J17" s="1145">
        <f t="shared" si="2"/>
        <v>36881.949999999997</v>
      </c>
      <c r="K17" s="1146">
        <f t="shared" si="0"/>
        <v>23211.95</v>
      </c>
      <c r="L17" s="1147">
        <f t="shared" si="5"/>
        <v>13670</v>
      </c>
      <c r="M17" s="1148">
        <f t="shared" si="6"/>
        <v>0.62935799218859101</v>
      </c>
      <c r="N17" s="1149">
        <f t="shared" si="3"/>
        <v>0.37064200781140916</v>
      </c>
      <c r="O17" s="1137">
        <f>'Production-Ciospi'!Y15</f>
        <v>176827.69500000001</v>
      </c>
      <c r="P17" s="1138">
        <f t="shared" si="4"/>
        <v>208.57564195472887</v>
      </c>
      <c r="Q17" s="1139">
        <f>'Food Wastage'!J15</f>
        <v>422.5</v>
      </c>
      <c r="R17" s="1140">
        <f>People!AK37</f>
        <v>814</v>
      </c>
      <c r="S17" s="1141">
        <f t="shared" si="7"/>
        <v>519.04176904176904</v>
      </c>
      <c r="U17" s="1178">
        <f t="shared" si="1"/>
        <v>36.881949999999996</v>
      </c>
    </row>
    <row r="18" spans="3:21" ht="15.75" thickBot="1">
      <c r="C18" s="1154" t="s">
        <v>288</v>
      </c>
      <c r="D18" s="1155">
        <f>'Wastage Raw Data'!AD7</f>
        <v>3790</v>
      </c>
      <c r="E18" s="1156">
        <f>'Wastage Raw Data'!AD21</f>
        <v>1558.5</v>
      </c>
      <c r="F18" s="1156">
        <f>'Wastage Raw Data'!AD29</f>
        <v>3908</v>
      </c>
      <c r="G18" s="1156">
        <f>'Wastage Raw Data'!AD34</f>
        <v>14985.3</v>
      </c>
      <c r="H18" s="1156">
        <f>'Wastage Raw Data'!AD35</f>
        <v>2986</v>
      </c>
      <c r="I18" s="1157">
        <f>'Wastage Raw Data'!AD37</f>
        <v>30532</v>
      </c>
      <c r="J18" s="1158">
        <f t="shared" si="2"/>
        <v>57759.8</v>
      </c>
      <c r="K18" s="1159">
        <f t="shared" si="0"/>
        <v>27227.8</v>
      </c>
      <c r="L18" s="1160">
        <f t="shared" si="5"/>
        <v>30532</v>
      </c>
      <c r="M18" s="1161">
        <f t="shared" si="6"/>
        <v>0.47139706162417455</v>
      </c>
      <c r="N18" s="1162">
        <f t="shared" si="3"/>
        <v>0.52860293837582539</v>
      </c>
      <c r="O18" s="1137">
        <f>'Production-Ciospi'!Y16</f>
        <v>155998.29958333331</v>
      </c>
      <c r="P18" s="1138">
        <f>(J18*1000)/O18</f>
        <v>370.25916406957424</v>
      </c>
      <c r="Q18" s="1139">
        <f>'Food Wastage'!J16</f>
        <v>390</v>
      </c>
      <c r="R18" s="1140">
        <f>People!AK38</f>
        <v>804</v>
      </c>
      <c r="S18" s="1141">
        <f t="shared" si="7"/>
        <v>485.07462686567163</v>
      </c>
      <c r="U18" s="1178">
        <f t="shared" si="1"/>
        <v>57.759800000000006</v>
      </c>
    </row>
    <row r="19" spans="3:21" ht="15.75" thickBot="1">
      <c r="C19" s="1113" t="s">
        <v>334</v>
      </c>
      <c r="D19" s="807">
        <f t="shared" ref="D19:K19" si="8">SUM(D7:D18)</f>
        <v>48143.700000000004</v>
      </c>
      <c r="E19" s="808">
        <f t="shared" si="8"/>
        <v>33659</v>
      </c>
      <c r="F19" s="808">
        <f t="shared" si="8"/>
        <v>59813</v>
      </c>
      <c r="G19" s="808">
        <f t="shared" si="8"/>
        <v>178292.2</v>
      </c>
      <c r="H19" s="808">
        <f t="shared" si="8"/>
        <v>20676.25</v>
      </c>
      <c r="I19" s="808">
        <f>SUM(I7:I18)</f>
        <v>205388</v>
      </c>
      <c r="J19" s="808">
        <f t="shared" si="8"/>
        <v>545972.15</v>
      </c>
      <c r="K19" s="808">
        <f t="shared" si="8"/>
        <v>340584.15</v>
      </c>
      <c r="L19" s="1164">
        <f>SUM(L7:L18)</f>
        <v>205388</v>
      </c>
      <c r="M19" s="1164"/>
      <c r="N19" s="1165"/>
      <c r="O19" s="1166">
        <f>SUM(O7:O18)</f>
        <v>2009553.5217083334</v>
      </c>
      <c r="P19" s="1167">
        <f>J19*1000/O19</f>
        <v>271.68828503550668</v>
      </c>
      <c r="Q19" s="1168">
        <f>SUM(Q7:Q18)</f>
        <v>3495.5</v>
      </c>
      <c r="R19" s="1168">
        <f>SUM(R7:R18)</f>
        <v>10077</v>
      </c>
      <c r="S19" s="1169">
        <f>(Q19*1000)/R19</f>
        <v>346.87903145777511</v>
      </c>
    </row>
    <row r="20" spans="3:21" ht="15.75" thickBot="1">
      <c r="C20" s="1170" t="s">
        <v>335</v>
      </c>
      <c r="D20" s="1171">
        <f t="shared" ref="D20:K20" si="9">AVERAGEIF(D7:D18, "&gt;0")</f>
        <v>4376.7000000000007</v>
      </c>
      <c r="E20" s="1172">
        <f t="shared" si="9"/>
        <v>3059.909090909091</v>
      </c>
      <c r="F20" s="1172">
        <f t="shared" si="9"/>
        <v>4984.416666666667</v>
      </c>
      <c r="G20" s="1172">
        <f t="shared" si="9"/>
        <v>14857.683333333334</v>
      </c>
      <c r="H20" s="1172">
        <f t="shared" si="9"/>
        <v>2297.3611111111113</v>
      </c>
      <c r="I20" s="1172">
        <f>AVERAGEIF(I7:I18, "&gt;0")</f>
        <v>17115.666666666668</v>
      </c>
      <c r="J20" s="1172">
        <f t="shared" si="9"/>
        <v>45497.679166666669</v>
      </c>
      <c r="K20" s="1172">
        <f t="shared" si="9"/>
        <v>28382.012500000001</v>
      </c>
      <c r="L20" s="1172">
        <f>AVERAGEIF(L7:L18, "&gt;0")</f>
        <v>17115.666666666668</v>
      </c>
      <c r="M20" s="1172"/>
      <c r="N20" s="1173"/>
      <c r="O20" s="1174">
        <f>AVERAGEIF(O7:O18, "&gt;0")</f>
        <v>167462.79347569446</v>
      </c>
      <c r="P20" s="1175"/>
      <c r="Q20" s="1176">
        <f>AVERAGEIF(Q7:Q18, "&gt;0")</f>
        <v>291.29166666666669</v>
      </c>
      <c r="R20" s="1176">
        <f>AVERAGEIF(R7:R18, "&gt;0")</f>
        <v>839.75</v>
      </c>
      <c r="S20" s="1177"/>
    </row>
    <row r="22" spans="3:21" ht="15.75" thickBot="1"/>
    <row r="23" spans="3:21" ht="19.5" thickBot="1">
      <c r="C23" s="2091" t="s">
        <v>1191</v>
      </c>
      <c r="D23" s="2092"/>
      <c r="E23" s="2092"/>
      <c r="F23" s="2092"/>
      <c r="G23" s="2092"/>
      <c r="H23" s="2092"/>
      <c r="I23" s="2092"/>
      <c r="J23" s="2092"/>
      <c r="K23" s="2092"/>
      <c r="L23" s="2092"/>
      <c r="M23" s="2092"/>
      <c r="N23" s="2092"/>
      <c r="O23" s="2092"/>
      <c r="P23" s="2092"/>
      <c r="Q23" s="2092"/>
      <c r="R23" s="2092"/>
      <c r="S23" s="2094"/>
    </row>
    <row r="24" spans="3:21" ht="15.75" thickBot="1">
      <c r="C24" s="2155"/>
      <c r="D24" s="2157" t="s">
        <v>1175</v>
      </c>
      <c r="E24" s="2158"/>
      <c r="F24" s="2158"/>
      <c r="G24" s="2158"/>
      <c r="H24" s="2158"/>
      <c r="I24" s="2158"/>
      <c r="J24" s="2158"/>
      <c r="K24" s="2158"/>
      <c r="L24" s="2158"/>
      <c r="M24" s="2158"/>
      <c r="N24" s="2158"/>
      <c r="O24" s="2158"/>
      <c r="P24" s="2158"/>
      <c r="Q24" s="2158"/>
      <c r="R24" s="2158"/>
      <c r="S24" s="2159"/>
    </row>
    <row r="25" spans="3:21" ht="15.75" thickBot="1">
      <c r="C25" s="2156"/>
      <c r="D25" s="2160" t="s">
        <v>1176</v>
      </c>
      <c r="E25" s="2161"/>
      <c r="F25" s="2161"/>
      <c r="G25" s="2161"/>
      <c r="H25" s="2161"/>
      <c r="I25" s="2161"/>
      <c r="J25" s="2062"/>
      <c r="K25" s="2062"/>
      <c r="L25" s="2162"/>
      <c r="M25" s="2157" t="s">
        <v>38</v>
      </c>
      <c r="N25" s="2159"/>
      <c r="O25" s="2158"/>
      <c r="P25" s="2159"/>
      <c r="Q25" s="2157" t="s">
        <v>1177</v>
      </c>
      <c r="R25" s="2158"/>
      <c r="S25" s="2159"/>
    </row>
    <row r="26" spans="3:21" ht="30.75" thickBot="1">
      <c r="C26" s="1114" t="s">
        <v>121</v>
      </c>
      <c r="D26" s="1115" t="s">
        <v>476</v>
      </c>
      <c r="E26" s="1116" t="s">
        <v>221</v>
      </c>
      <c r="F26" s="1116" t="s">
        <v>477</v>
      </c>
      <c r="G26" s="1116" t="s">
        <v>478</v>
      </c>
      <c r="H26" s="1116" t="s">
        <v>479</v>
      </c>
      <c r="I26" s="1117" t="s">
        <v>1178</v>
      </c>
      <c r="J26" s="1118" t="s">
        <v>334</v>
      </c>
      <c r="K26" s="1119" t="s">
        <v>1179</v>
      </c>
      <c r="L26" s="1120" t="s">
        <v>1180</v>
      </c>
      <c r="M26" s="1121" t="s">
        <v>1181</v>
      </c>
      <c r="N26" s="1122" t="s">
        <v>1182</v>
      </c>
      <c r="O26" s="1123" t="s">
        <v>1183</v>
      </c>
      <c r="P26" s="1124" t="s">
        <v>1184</v>
      </c>
      <c r="Q26" s="1125" t="s">
        <v>236</v>
      </c>
      <c r="R26" s="1126" t="s">
        <v>1185</v>
      </c>
      <c r="S26" s="1127" t="s">
        <v>1186</v>
      </c>
    </row>
    <row r="27" spans="3:21">
      <c r="C27" s="1128" t="s">
        <v>278</v>
      </c>
      <c r="D27" s="1129">
        <f>'Wastage Raw Data'!H51</f>
        <v>4537.7</v>
      </c>
      <c r="E27" s="1130">
        <f>'Wastage Raw Data'!H65</f>
        <v>2504.5</v>
      </c>
      <c r="F27" s="1130">
        <f>'Wastage Raw Data'!H73</f>
        <v>3908</v>
      </c>
      <c r="G27" s="1130">
        <f>'Wastage Raw Data'!H78</f>
        <v>12433.1</v>
      </c>
      <c r="H27" s="1130">
        <f>'Wastage Raw Data'!H79</f>
        <v>0</v>
      </c>
      <c r="I27" s="1131">
        <f>'Wastage Raw Data'!H81</f>
        <v>19634</v>
      </c>
      <c r="J27" s="1132">
        <f>SUM(D27:I27)</f>
        <v>43017.3</v>
      </c>
      <c r="K27" s="1133">
        <f t="shared" ref="K27:K38" si="10">SUM(D27:H27)</f>
        <v>23383.300000000003</v>
      </c>
      <c r="L27" s="1134">
        <f>I27</f>
        <v>19634</v>
      </c>
      <c r="M27" s="1135">
        <f>K27/J27</f>
        <v>0.54357897868996896</v>
      </c>
      <c r="N27" s="1136">
        <f>L27/J27</f>
        <v>0.45642102131003104</v>
      </c>
      <c r="O27" s="1137"/>
      <c r="P27" s="1138" t="e">
        <f>(J27*1000)/O27</f>
        <v>#DIV/0!</v>
      </c>
      <c r="Q27" s="1139">
        <f>'Food Wastage'!J21</f>
        <v>467</v>
      </c>
      <c r="R27" s="1140">
        <f>People!AK128</f>
        <v>803</v>
      </c>
      <c r="S27" s="1141">
        <f>(Q27*1000)/R27</f>
        <v>581.56911581569113</v>
      </c>
      <c r="T27" s="1102"/>
      <c r="U27" s="1178">
        <f t="shared" ref="U27:U38" si="11">J27/1000</f>
        <v>43.017300000000006</v>
      </c>
    </row>
    <row r="28" spans="3:21">
      <c r="C28" s="940" t="s">
        <v>279</v>
      </c>
      <c r="D28" s="1142">
        <f>'Wastage Raw Data'!J51</f>
        <v>0</v>
      </c>
      <c r="E28" s="1143">
        <f>'Wastage Raw Data'!J65</f>
        <v>0</v>
      </c>
      <c r="F28" s="1143">
        <f>'Wastage Raw Data'!J73</f>
        <v>0</v>
      </c>
      <c r="G28" s="1143">
        <f>'Wastage Raw Data'!J78</f>
        <v>0</v>
      </c>
      <c r="H28" s="1143">
        <f>'Wastage Raw Data'!J79</f>
        <v>0</v>
      </c>
      <c r="I28" s="1144">
        <f>'Wastage Raw Data'!J81</f>
        <v>0</v>
      </c>
      <c r="J28" s="1145">
        <f t="shared" ref="J28:J38" si="12">SUM(D28:I28)</f>
        <v>0</v>
      </c>
      <c r="K28" s="1146">
        <f t="shared" si="10"/>
        <v>0</v>
      </c>
      <c r="L28" s="1147">
        <f>I28</f>
        <v>0</v>
      </c>
      <c r="M28" s="1148" t="e">
        <f>K28/J28</f>
        <v>#DIV/0!</v>
      </c>
      <c r="N28" s="1149" t="e">
        <f t="shared" ref="N28:N38" si="13">L28/J28</f>
        <v>#DIV/0!</v>
      </c>
      <c r="O28" s="1137"/>
      <c r="P28" s="1138" t="e">
        <f t="shared" ref="P28:P37" si="14">(J28*1000)/O28</f>
        <v>#DIV/0!</v>
      </c>
      <c r="Q28" s="1139">
        <f>'Food Wastage'!J22</f>
        <v>0</v>
      </c>
      <c r="R28" s="1140" t="str">
        <f>People!AK129</f>
        <v/>
      </c>
      <c r="S28" s="1141" t="e">
        <f>(Q28*1000)/R28</f>
        <v>#VALUE!</v>
      </c>
      <c r="T28" s="1102"/>
      <c r="U28" s="1178">
        <f t="shared" si="11"/>
        <v>0</v>
      </c>
    </row>
    <row r="29" spans="3:21">
      <c r="C29" s="940" t="s">
        <v>280</v>
      </c>
      <c r="D29" s="1142">
        <f>'Wastage Raw Data'!L51</f>
        <v>0</v>
      </c>
      <c r="E29" s="1143">
        <f>'Wastage Raw Data'!L65</f>
        <v>0</v>
      </c>
      <c r="F29" s="1143">
        <f>'Wastage Raw Data'!L73</f>
        <v>0</v>
      </c>
      <c r="G29" s="1143">
        <f>'Wastage Raw Data'!L78</f>
        <v>0</v>
      </c>
      <c r="H29" s="1143">
        <f>'Wastage Raw Data'!L79</f>
        <v>0</v>
      </c>
      <c r="I29" s="1144">
        <f>'Wastage Raw Data'!L81</f>
        <v>0</v>
      </c>
      <c r="J29" s="1145">
        <f t="shared" si="12"/>
        <v>0</v>
      </c>
      <c r="K29" s="1146">
        <f t="shared" si="10"/>
        <v>0</v>
      </c>
      <c r="L29" s="1147">
        <f t="shared" ref="L29:L38" si="15">I29</f>
        <v>0</v>
      </c>
      <c r="M29" s="1148" t="e">
        <f t="shared" ref="M29:M38" si="16">K29/J29</f>
        <v>#DIV/0!</v>
      </c>
      <c r="N29" s="1149" t="e">
        <f t="shared" si="13"/>
        <v>#DIV/0!</v>
      </c>
      <c r="O29" s="1137"/>
      <c r="P29" s="1138" t="e">
        <f t="shared" si="14"/>
        <v>#DIV/0!</v>
      </c>
      <c r="Q29" s="1139">
        <f>'Food Wastage'!J23</f>
        <v>0</v>
      </c>
      <c r="R29" s="1140" t="str">
        <f>People!AK130</f>
        <v/>
      </c>
      <c r="S29" s="1141" t="e">
        <f t="shared" ref="S29:S38" si="17">(Q29*1000)/R29</f>
        <v>#VALUE!</v>
      </c>
      <c r="T29" s="1102"/>
      <c r="U29" s="1178">
        <f t="shared" si="11"/>
        <v>0</v>
      </c>
    </row>
    <row r="30" spans="3:21">
      <c r="C30" s="940" t="s">
        <v>281</v>
      </c>
      <c r="D30" s="1142">
        <f>'Wastage Raw Data'!N51</f>
        <v>0</v>
      </c>
      <c r="E30" s="1143">
        <f>'Wastage Raw Data'!N65</f>
        <v>0</v>
      </c>
      <c r="F30" s="1143">
        <f>'Wastage Raw Data'!N73</f>
        <v>0</v>
      </c>
      <c r="G30" s="1143">
        <f>'Wastage Raw Data'!N78</f>
        <v>0</v>
      </c>
      <c r="H30" s="1143">
        <f>'Wastage Raw Data'!N79</f>
        <v>0</v>
      </c>
      <c r="I30" s="1144">
        <f>'Wastage Raw Data'!N81</f>
        <v>0</v>
      </c>
      <c r="J30" s="1145">
        <f t="shared" si="12"/>
        <v>0</v>
      </c>
      <c r="K30" s="1146">
        <f t="shared" si="10"/>
        <v>0</v>
      </c>
      <c r="L30" s="1147">
        <f t="shared" si="15"/>
        <v>0</v>
      </c>
      <c r="M30" s="1148" t="e">
        <f t="shared" si="16"/>
        <v>#DIV/0!</v>
      </c>
      <c r="N30" s="1149" t="e">
        <f t="shared" si="13"/>
        <v>#DIV/0!</v>
      </c>
      <c r="O30" s="1137"/>
      <c r="P30" s="1138" t="e">
        <f t="shared" si="14"/>
        <v>#DIV/0!</v>
      </c>
      <c r="Q30" s="1139">
        <f>'Food Wastage'!J24</f>
        <v>0</v>
      </c>
      <c r="R30" s="1140" t="str">
        <f>People!AK131</f>
        <v/>
      </c>
      <c r="S30" s="1141" t="e">
        <f t="shared" si="17"/>
        <v>#VALUE!</v>
      </c>
      <c r="U30" s="1178">
        <f t="shared" si="11"/>
        <v>0</v>
      </c>
    </row>
    <row r="31" spans="3:21">
      <c r="C31" s="940" t="s">
        <v>132</v>
      </c>
      <c r="D31" s="1142">
        <f>'Wastage Raw Data'!P51</f>
        <v>0</v>
      </c>
      <c r="E31" s="1143">
        <f>'Wastage Raw Data'!P65</f>
        <v>0</v>
      </c>
      <c r="F31" s="1143">
        <f>'Wastage Raw Data'!P73</f>
        <v>0</v>
      </c>
      <c r="G31" s="1143">
        <f>'Wastage Raw Data'!P78</f>
        <v>0</v>
      </c>
      <c r="H31" s="1143">
        <f>'Wastage Raw Data'!P79</f>
        <v>0</v>
      </c>
      <c r="I31" s="1144">
        <f>'Wastage Raw Data'!P81</f>
        <v>0</v>
      </c>
      <c r="J31" s="1145">
        <f t="shared" si="12"/>
        <v>0</v>
      </c>
      <c r="K31" s="1146">
        <f t="shared" si="10"/>
        <v>0</v>
      </c>
      <c r="L31" s="1147">
        <f t="shared" si="15"/>
        <v>0</v>
      </c>
      <c r="M31" s="1148" t="e">
        <f t="shared" si="16"/>
        <v>#DIV/0!</v>
      </c>
      <c r="N31" s="1149" t="e">
        <f t="shared" si="13"/>
        <v>#DIV/0!</v>
      </c>
      <c r="O31" s="1137"/>
      <c r="P31" s="1138" t="e">
        <f t="shared" si="14"/>
        <v>#DIV/0!</v>
      </c>
      <c r="Q31" s="1139">
        <f>'Food Wastage'!J25</f>
        <v>0</v>
      </c>
      <c r="R31" s="1140" t="str">
        <f>People!AK132</f>
        <v/>
      </c>
      <c r="S31" s="1141" t="e">
        <f t="shared" si="17"/>
        <v>#VALUE!</v>
      </c>
      <c r="U31" s="1178">
        <f t="shared" si="11"/>
        <v>0</v>
      </c>
    </row>
    <row r="32" spans="3:21">
      <c r="C32" s="940" t="s">
        <v>282</v>
      </c>
      <c r="D32" s="1142">
        <f>'Wastage Raw Data'!R51</f>
        <v>0</v>
      </c>
      <c r="E32" s="1143">
        <f>'Wastage Raw Data'!R65</f>
        <v>0</v>
      </c>
      <c r="F32" s="1143">
        <f>'Wastage Raw Data'!R73</f>
        <v>0</v>
      </c>
      <c r="G32" s="1143">
        <f>'Wastage Raw Data'!R78</f>
        <v>0</v>
      </c>
      <c r="H32" s="1143">
        <f>'Wastage Raw Data'!R78</f>
        <v>0</v>
      </c>
      <c r="I32" s="1144">
        <f>'Wastage Raw Data'!R81</f>
        <v>0</v>
      </c>
      <c r="J32" s="1145">
        <f t="shared" si="12"/>
        <v>0</v>
      </c>
      <c r="K32" s="1146">
        <f t="shared" si="10"/>
        <v>0</v>
      </c>
      <c r="L32" s="1147">
        <f t="shared" si="15"/>
        <v>0</v>
      </c>
      <c r="M32" s="1148" t="e">
        <f t="shared" si="16"/>
        <v>#DIV/0!</v>
      </c>
      <c r="N32" s="1149" t="e">
        <f t="shared" si="13"/>
        <v>#DIV/0!</v>
      </c>
      <c r="O32" s="1137"/>
      <c r="P32" s="1138" t="e">
        <f t="shared" si="14"/>
        <v>#DIV/0!</v>
      </c>
      <c r="Q32" s="1139">
        <f>'Food Wastage'!J26</f>
        <v>0</v>
      </c>
      <c r="R32" s="1140" t="str">
        <f>People!AK133</f>
        <v/>
      </c>
      <c r="S32" s="1141" t="e">
        <f t="shared" si="17"/>
        <v>#VALUE!</v>
      </c>
      <c r="U32" s="1178">
        <f t="shared" si="11"/>
        <v>0</v>
      </c>
    </row>
    <row r="33" spans="3:21">
      <c r="C33" s="940" t="s">
        <v>283</v>
      </c>
      <c r="D33" s="1142">
        <f>'Wastage Raw Data'!T51</f>
        <v>0</v>
      </c>
      <c r="E33" s="1143">
        <f>'Wastage Raw Data'!T65</f>
        <v>0</v>
      </c>
      <c r="F33" s="1143">
        <f>'Wastage Raw Data'!T73</f>
        <v>0</v>
      </c>
      <c r="G33" s="1143">
        <f>'Wastage Raw Data'!T78</f>
        <v>0</v>
      </c>
      <c r="H33" s="1143">
        <f>'Wastage Raw Data'!T78</f>
        <v>0</v>
      </c>
      <c r="I33" s="1144">
        <f>'Wastage Raw Data'!T81</f>
        <v>0</v>
      </c>
      <c r="J33" s="1145">
        <f t="shared" si="12"/>
        <v>0</v>
      </c>
      <c r="K33" s="1146">
        <f t="shared" si="10"/>
        <v>0</v>
      </c>
      <c r="L33" s="1147">
        <f t="shared" si="15"/>
        <v>0</v>
      </c>
      <c r="M33" s="1148" t="e">
        <f t="shared" si="16"/>
        <v>#DIV/0!</v>
      </c>
      <c r="N33" s="1149" t="e">
        <f t="shared" si="13"/>
        <v>#DIV/0!</v>
      </c>
      <c r="O33" s="1137"/>
      <c r="P33" s="1138" t="e">
        <f t="shared" si="14"/>
        <v>#DIV/0!</v>
      </c>
      <c r="Q33" s="1139">
        <f>'Food Wastage'!J27</f>
        <v>0</v>
      </c>
      <c r="R33" s="1140" t="str">
        <f>People!AK134</f>
        <v/>
      </c>
      <c r="S33" s="1141" t="e">
        <f t="shared" si="17"/>
        <v>#VALUE!</v>
      </c>
      <c r="U33" s="1178">
        <f t="shared" si="11"/>
        <v>0</v>
      </c>
    </row>
    <row r="34" spans="3:21">
      <c r="C34" s="940" t="s">
        <v>284</v>
      </c>
      <c r="D34" s="1142">
        <f>'Wastage Raw Data'!V51</f>
        <v>0</v>
      </c>
      <c r="E34" s="1143">
        <f>'Wastage Raw Data'!V65</f>
        <v>0</v>
      </c>
      <c r="F34" s="1143">
        <f>'Wastage Raw Data'!V73</f>
        <v>0</v>
      </c>
      <c r="G34" s="1143">
        <f>'Wastage Raw Data'!V78</f>
        <v>0</v>
      </c>
      <c r="H34" s="1143">
        <f>'Wastage Raw Data'!V79</f>
        <v>0</v>
      </c>
      <c r="I34" s="1144">
        <f>'Wastage Raw Data'!V81</f>
        <v>0</v>
      </c>
      <c r="J34" s="1145">
        <f t="shared" si="12"/>
        <v>0</v>
      </c>
      <c r="K34" s="1146">
        <f t="shared" si="10"/>
        <v>0</v>
      </c>
      <c r="L34" s="1147">
        <f t="shared" si="15"/>
        <v>0</v>
      </c>
      <c r="M34" s="1148" t="e">
        <f t="shared" si="16"/>
        <v>#DIV/0!</v>
      </c>
      <c r="N34" s="1149" t="e">
        <f t="shared" si="13"/>
        <v>#DIV/0!</v>
      </c>
      <c r="O34" s="1137"/>
      <c r="P34" s="1138" t="e">
        <f t="shared" si="14"/>
        <v>#DIV/0!</v>
      </c>
      <c r="Q34" s="1139">
        <f>'Food Wastage'!J28</f>
        <v>0</v>
      </c>
      <c r="R34" s="1140" t="str">
        <f>People!AK135</f>
        <v/>
      </c>
      <c r="S34" s="1141" t="e">
        <f t="shared" si="17"/>
        <v>#VALUE!</v>
      </c>
      <c r="U34" s="1178">
        <f t="shared" si="11"/>
        <v>0</v>
      </c>
    </row>
    <row r="35" spans="3:21">
      <c r="C35" s="940" t="s">
        <v>285</v>
      </c>
      <c r="D35" s="1142">
        <f>'Wastage Raw Data'!X51</f>
        <v>0</v>
      </c>
      <c r="E35" s="1143">
        <f>'Wastage Raw Data'!X65</f>
        <v>0</v>
      </c>
      <c r="F35" s="1143">
        <f>'Wastage Raw Data'!X73</f>
        <v>0</v>
      </c>
      <c r="G35" s="1143">
        <f>'Wastage Raw Data'!X78</f>
        <v>0</v>
      </c>
      <c r="H35" s="1143">
        <f>'Wastage Raw Data'!X79</f>
        <v>0</v>
      </c>
      <c r="I35" s="1144">
        <f>'Wastage Raw Data'!X81</f>
        <v>0</v>
      </c>
      <c r="J35" s="1145">
        <f t="shared" si="12"/>
        <v>0</v>
      </c>
      <c r="K35" s="1146">
        <f t="shared" si="10"/>
        <v>0</v>
      </c>
      <c r="L35" s="1147">
        <f t="shared" si="15"/>
        <v>0</v>
      </c>
      <c r="M35" s="1148" t="e">
        <f t="shared" si="16"/>
        <v>#DIV/0!</v>
      </c>
      <c r="N35" s="1149" t="e">
        <f t="shared" si="13"/>
        <v>#DIV/0!</v>
      </c>
      <c r="O35" s="1137"/>
      <c r="P35" s="1138" t="e">
        <f t="shared" si="14"/>
        <v>#DIV/0!</v>
      </c>
      <c r="Q35" s="1139">
        <f>'Food Wastage'!J29</f>
        <v>0</v>
      </c>
      <c r="R35" s="1140" t="str">
        <f>People!AK136</f>
        <v/>
      </c>
      <c r="S35" s="1141" t="e">
        <f t="shared" si="17"/>
        <v>#VALUE!</v>
      </c>
      <c r="U35" s="1178">
        <f t="shared" si="11"/>
        <v>0</v>
      </c>
    </row>
    <row r="36" spans="3:21">
      <c r="C36" s="940" t="s">
        <v>286</v>
      </c>
      <c r="D36" s="1142">
        <f>'Wastage Raw Data'!Z51</f>
        <v>0</v>
      </c>
      <c r="E36" s="1143">
        <f>'Wastage Raw Data'!Z65</f>
        <v>0</v>
      </c>
      <c r="F36" s="1143">
        <f>'Wastage Raw Data'!Z73</f>
        <v>0</v>
      </c>
      <c r="G36" s="1143">
        <f>'Wastage Raw Data'!Z78</f>
        <v>0</v>
      </c>
      <c r="H36" s="1143">
        <f>'Wastage Raw Data'!Z79</f>
        <v>0</v>
      </c>
      <c r="I36" s="1144">
        <f>'Wastage Raw Data'!Z81</f>
        <v>0</v>
      </c>
      <c r="J36" s="1145">
        <f t="shared" si="12"/>
        <v>0</v>
      </c>
      <c r="K36" s="1146">
        <f t="shared" si="10"/>
        <v>0</v>
      </c>
      <c r="L36" s="1147">
        <f t="shared" si="15"/>
        <v>0</v>
      </c>
      <c r="M36" s="1148" t="e">
        <f t="shared" si="16"/>
        <v>#DIV/0!</v>
      </c>
      <c r="N36" s="1149" t="e">
        <f t="shared" si="13"/>
        <v>#DIV/0!</v>
      </c>
      <c r="O36" s="1137"/>
      <c r="P36" s="1138" t="e">
        <f t="shared" si="14"/>
        <v>#DIV/0!</v>
      </c>
      <c r="Q36" s="1139">
        <f>'Food Wastage'!J30</f>
        <v>0</v>
      </c>
      <c r="R36" s="1140" t="str">
        <f>People!AK137</f>
        <v/>
      </c>
      <c r="S36" s="1141" t="e">
        <f t="shared" si="17"/>
        <v>#VALUE!</v>
      </c>
      <c r="U36" s="1178">
        <f t="shared" si="11"/>
        <v>0</v>
      </c>
    </row>
    <row r="37" spans="3:21">
      <c r="C37" s="940" t="s">
        <v>287</v>
      </c>
      <c r="D37" s="1142">
        <f>'Wastage Raw Data'!AB51</f>
        <v>0</v>
      </c>
      <c r="E37" s="1143">
        <f>'Wastage Raw Data'!AB65</f>
        <v>0</v>
      </c>
      <c r="F37" s="1143">
        <f>'Wastage Raw Data'!AB73</f>
        <v>0</v>
      </c>
      <c r="G37" s="1143">
        <f>'Wastage Raw Data'!AB78</f>
        <v>0</v>
      </c>
      <c r="H37" s="1143">
        <f>'Wastage Raw Data'!AB78</f>
        <v>0</v>
      </c>
      <c r="I37" s="1144">
        <f>'Wastage Raw Data'!AB81</f>
        <v>0</v>
      </c>
      <c r="J37" s="1145">
        <f t="shared" si="12"/>
        <v>0</v>
      </c>
      <c r="K37" s="1146">
        <f t="shared" si="10"/>
        <v>0</v>
      </c>
      <c r="L37" s="1147">
        <f t="shared" si="15"/>
        <v>0</v>
      </c>
      <c r="M37" s="1148" t="e">
        <f t="shared" si="16"/>
        <v>#DIV/0!</v>
      </c>
      <c r="N37" s="1149" t="e">
        <f t="shared" si="13"/>
        <v>#DIV/0!</v>
      </c>
      <c r="O37" s="1137"/>
      <c r="P37" s="1138" t="e">
        <f t="shared" si="14"/>
        <v>#DIV/0!</v>
      </c>
      <c r="Q37" s="1139">
        <f>'Food Wastage'!J31</f>
        <v>0</v>
      </c>
      <c r="R37" s="1140" t="str">
        <f>People!AK138</f>
        <v/>
      </c>
      <c r="S37" s="1141" t="e">
        <f t="shared" si="17"/>
        <v>#VALUE!</v>
      </c>
      <c r="U37" s="1178">
        <f t="shared" si="11"/>
        <v>0</v>
      </c>
    </row>
    <row r="38" spans="3:21" ht="15.75" thickBot="1">
      <c r="C38" s="1154" t="s">
        <v>288</v>
      </c>
      <c r="D38" s="1155">
        <f>'Wastage Raw Data'!AD51</f>
        <v>0</v>
      </c>
      <c r="E38" s="1156">
        <f>'Wastage Raw Data'!AD65</f>
        <v>0</v>
      </c>
      <c r="F38" s="1156">
        <f>'Wastage Raw Data'!AD73</f>
        <v>0</v>
      </c>
      <c r="G38" s="1156">
        <f>'Wastage Raw Data'!AD78</f>
        <v>0</v>
      </c>
      <c r="H38" s="1156">
        <f>'Wastage Raw Data'!AD78</f>
        <v>0</v>
      </c>
      <c r="I38" s="1157">
        <f>'Wastage Raw Data'!AD81</f>
        <v>0</v>
      </c>
      <c r="J38" s="1158">
        <f t="shared" si="12"/>
        <v>0</v>
      </c>
      <c r="K38" s="1159">
        <f t="shared" si="10"/>
        <v>0</v>
      </c>
      <c r="L38" s="1160">
        <f t="shared" si="15"/>
        <v>0</v>
      </c>
      <c r="M38" s="1161" t="e">
        <f t="shared" si="16"/>
        <v>#DIV/0!</v>
      </c>
      <c r="N38" s="1162" t="e">
        <f t="shared" si="13"/>
        <v>#DIV/0!</v>
      </c>
      <c r="O38" s="1163"/>
      <c r="P38" s="1138" t="e">
        <f>(J38*1000)/O38</f>
        <v>#DIV/0!</v>
      </c>
      <c r="Q38" s="1139">
        <f>'Food Wastage'!J32</f>
        <v>0</v>
      </c>
      <c r="R38" s="1140" t="str">
        <f>People!AK139</f>
        <v/>
      </c>
      <c r="S38" s="1141" t="e">
        <f t="shared" si="17"/>
        <v>#VALUE!</v>
      </c>
      <c r="U38" s="1178">
        <f t="shared" si="11"/>
        <v>0</v>
      </c>
    </row>
    <row r="39" spans="3:21" ht="15.75" thickBot="1">
      <c r="C39" s="1113" t="s">
        <v>334</v>
      </c>
      <c r="D39" s="807">
        <f t="shared" ref="D39:H39" si="18">SUM(D27:D38)</f>
        <v>4537.7</v>
      </c>
      <c r="E39" s="808">
        <f t="shared" si="18"/>
        <v>2504.5</v>
      </c>
      <c r="F39" s="808">
        <f t="shared" si="18"/>
        <v>3908</v>
      </c>
      <c r="G39" s="808">
        <f t="shared" si="18"/>
        <v>12433.1</v>
      </c>
      <c r="H39" s="808">
        <f t="shared" si="18"/>
        <v>0</v>
      </c>
      <c r="I39" s="808">
        <f>SUM(I27:I38)</f>
        <v>19634</v>
      </c>
      <c r="J39" s="808">
        <f t="shared" ref="J39:K39" si="19">SUM(J27:J38)</f>
        <v>43017.3</v>
      </c>
      <c r="K39" s="808">
        <f t="shared" si="19"/>
        <v>23383.300000000003</v>
      </c>
      <c r="L39" s="1164">
        <f>SUM(L27:L38)</f>
        <v>19634</v>
      </c>
      <c r="M39" s="1164"/>
      <c r="N39" s="1165"/>
      <c r="O39" s="1166">
        <f>SUM(O27:O38)</f>
        <v>0</v>
      </c>
      <c r="P39" s="1167" t="e">
        <f>J39*1000/O39</f>
        <v>#DIV/0!</v>
      </c>
      <c r="Q39" s="1168">
        <f>SUM(Q27:Q38)</f>
        <v>467</v>
      </c>
      <c r="R39" s="1168">
        <f>SUM(R27:R38)</f>
        <v>803</v>
      </c>
      <c r="S39" s="1169">
        <f>(Q39*1000)/R39</f>
        <v>581.56911581569113</v>
      </c>
    </row>
    <row r="40" spans="3:21" ht="15.75" thickBot="1">
      <c r="C40" s="1170" t="s">
        <v>335</v>
      </c>
      <c r="D40" s="1171">
        <f t="shared" ref="D40:H40" si="20">AVERAGEIF(D27:D38, "&gt;0")</f>
        <v>4537.7</v>
      </c>
      <c r="E40" s="1172">
        <f t="shared" si="20"/>
        <v>2504.5</v>
      </c>
      <c r="F40" s="1172">
        <f t="shared" si="20"/>
        <v>3908</v>
      </c>
      <c r="G40" s="1172">
        <f t="shared" si="20"/>
        <v>12433.1</v>
      </c>
      <c r="H40" s="1172" t="e">
        <f t="shared" si="20"/>
        <v>#DIV/0!</v>
      </c>
      <c r="I40" s="1172">
        <f>AVERAGEIF(I27:I38, "&gt;0")</f>
        <v>19634</v>
      </c>
      <c r="J40" s="1172">
        <f t="shared" ref="J40:K40" si="21">AVERAGEIF(J27:J38, "&gt;0")</f>
        <v>43017.3</v>
      </c>
      <c r="K40" s="1172">
        <f t="shared" si="21"/>
        <v>23383.300000000003</v>
      </c>
      <c r="L40" s="1172">
        <f>AVERAGEIF(L27:L38, "&gt;0")</f>
        <v>19634</v>
      </c>
      <c r="M40" s="1172"/>
      <c r="N40" s="1173"/>
      <c r="O40" s="1174" t="e">
        <f>AVERAGEIF(O27:O38, "&gt;0")</f>
        <v>#DIV/0!</v>
      </c>
      <c r="P40" s="1175"/>
      <c r="Q40" s="1176">
        <f>AVERAGEIF(Q27:Q38, "&gt;0")</f>
        <v>467</v>
      </c>
      <c r="R40" s="1176">
        <f>AVERAGEIF(R27:R38, "&gt;0")</f>
        <v>803</v>
      </c>
      <c r="S40" s="1177"/>
    </row>
  </sheetData>
  <mergeCells count="14">
    <mergeCell ref="C3:S3"/>
    <mergeCell ref="C4:C5"/>
    <mergeCell ref="D4:S4"/>
    <mergeCell ref="D5:L5"/>
    <mergeCell ref="M5:N5"/>
    <mergeCell ref="O5:P5"/>
    <mergeCell ref="Q5:S5"/>
    <mergeCell ref="C23:S23"/>
    <mergeCell ref="C24:C25"/>
    <mergeCell ref="D24:S24"/>
    <mergeCell ref="D25:L25"/>
    <mergeCell ref="M25:N25"/>
    <mergeCell ref="O25:P25"/>
    <mergeCell ref="Q25:S25"/>
  </mergeCell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4B001-34B3-47FD-AD47-748731549D7D}">
  <dimension ref="A1:K33"/>
  <sheetViews>
    <sheetView showGridLines="0" topLeftCell="A4" workbookViewId="0">
      <selection activeCell="I21" sqref="I21"/>
    </sheetView>
  </sheetViews>
  <sheetFormatPr defaultRowHeight="15"/>
  <cols>
    <col min="1" max="1" width="23.28515625" customWidth="1"/>
    <col min="2" max="2" width="1.7109375" customWidth="1"/>
    <col min="3" max="3" width="17.85546875" customWidth="1"/>
    <col min="4" max="4" width="10.85546875" bestFit="1" customWidth="1"/>
    <col min="5" max="5" width="18" customWidth="1"/>
  </cols>
  <sheetData>
    <row r="1" spans="1:11" ht="18.75">
      <c r="C1" s="2057" t="s">
        <v>1122</v>
      </c>
      <c r="D1" s="2057"/>
      <c r="E1" s="2057"/>
      <c r="F1" s="2057"/>
      <c r="G1" s="2057"/>
      <c r="H1" s="2057"/>
      <c r="I1" s="2057"/>
      <c r="J1" s="2057"/>
      <c r="K1" s="2057"/>
    </row>
    <row r="2" spans="1:11" ht="15.75" thickBot="1"/>
    <row r="3" spans="1:11" ht="21.75" thickBot="1">
      <c r="C3" s="2168" t="s">
        <v>1192</v>
      </c>
      <c r="D3" s="2169"/>
      <c r="E3" s="2170"/>
      <c r="G3" s="2165" t="s">
        <v>1193</v>
      </c>
      <c r="H3" s="2166"/>
      <c r="I3" s="2166"/>
      <c r="J3" s="2167"/>
    </row>
    <row r="4" spans="1:11" ht="39" customHeight="1" thickBot="1">
      <c r="A4" s="880" t="s">
        <v>338</v>
      </c>
      <c r="C4" s="1269" t="s">
        <v>1194</v>
      </c>
      <c r="D4" s="1270" t="s">
        <v>121</v>
      </c>
      <c r="E4" s="1270" t="s">
        <v>1195</v>
      </c>
      <c r="G4" s="1279" t="s">
        <v>121</v>
      </c>
      <c r="H4" s="1280" t="s">
        <v>1196</v>
      </c>
      <c r="I4" s="1280" t="s">
        <v>1197</v>
      </c>
      <c r="J4" s="1281" t="s">
        <v>334</v>
      </c>
    </row>
    <row r="5" spans="1:11">
      <c r="A5" t="s">
        <v>267</v>
      </c>
      <c r="C5" s="1272">
        <v>90</v>
      </c>
      <c r="D5" s="1273" t="s">
        <v>1198</v>
      </c>
      <c r="E5" s="1274">
        <v>18</v>
      </c>
      <c r="G5" s="1128" t="s">
        <v>278</v>
      </c>
      <c r="H5" s="1853">
        <v>206</v>
      </c>
      <c r="I5" s="1853">
        <v>167</v>
      </c>
      <c r="J5" s="676">
        <f>SUM(H5:I5)</f>
        <v>373</v>
      </c>
    </row>
    <row r="6" spans="1:11">
      <c r="C6" s="1265">
        <v>80</v>
      </c>
      <c r="D6" s="1271" t="s">
        <v>1199</v>
      </c>
      <c r="E6" s="1266">
        <v>16</v>
      </c>
      <c r="G6" s="940" t="s">
        <v>279</v>
      </c>
      <c r="H6" s="1854">
        <v>118</v>
      </c>
      <c r="I6" s="1854">
        <v>100</v>
      </c>
      <c r="J6" s="684">
        <f t="shared" ref="J6:J16" si="0">SUM(H6:I6)</f>
        <v>218</v>
      </c>
    </row>
    <row r="7" spans="1:11">
      <c r="C7" s="1265">
        <v>95</v>
      </c>
      <c r="D7" s="1271" t="s">
        <v>129</v>
      </c>
      <c r="E7" s="1266">
        <v>21</v>
      </c>
      <c r="G7" s="940" t="s">
        <v>280</v>
      </c>
      <c r="H7" s="1854">
        <v>76</v>
      </c>
      <c r="I7" s="1854">
        <v>82</v>
      </c>
      <c r="J7" s="684">
        <f t="shared" si="0"/>
        <v>158</v>
      </c>
    </row>
    <row r="8" spans="1:11">
      <c r="C8" s="1265">
        <v>30</v>
      </c>
      <c r="D8" s="1271" t="s">
        <v>130</v>
      </c>
      <c r="E8" s="1266">
        <v>6</v>
      </c>
      <c r="G8" s="940" t="s">
        <v>281</v>
      </c>
      <c r="H8" s="1854">
        <v>45</v>
      </c>
      <c r="I8" s="1854">
        <v>52</v>
      </c>
      <c r="J8" s="684">
        <f t="shared" si="0"/>
        <v>97</v>
      </c>
    </row>
    <row r="9" spans="1:11">
      <c r="C9" s="1265">
        <v>50</v>
      </c>
      <c r="D9" s="1271" t="s">
        <v>132</v>
      </c>
      <c r="E9" s="1266">
        <v>10</v>
      </c>
      <c r="G9" s="940" t="s">
        <v>132</v>
      </c>
      <c r="H9" s="1195">
        <v>91</v>
      </c>
      <c r="I9" s="1195">
        <v>164</v>
      </c>
      <c r="J9" s="684">
        <f t="shared" si="0"/>
        <v>255</v>
      </c>
    </row>
    <row r="10" spans="1:11">
      <c r="C10" s="1265">
        <v>25</v>
      </c>
      <c r="D10" s="1271" t="s">
        <v>134</v>
      </c>
      <c r="E10" s="1266">
        <v>5</v>
      </c>
      <c r="G10" s="940" t="s">
        <v>282</v>
      </c>
      <c r="H10" s="1854">
        <v>69</v>
      </c>
      <c r="I10" s="1854">
        <v>163</v>
      </c>
      <c r="J10" s="684">
        <f t="shared" si="0"/>
        <v>232</v>
      </c>
    </row>
    <row r="11" spans="1:11">
      <c r="C11" s="1265">
        <v>30</v>
      </c>
      <c r="D11" s="1271" t="s">
        <v>136</v>
      </c>
      <c r="E11" s="1266">
        <v>6</v>
      </c>
      <c r="G11" s="940" t="s">
        <v>283</v>
      </c>
      <c r="H11" s="1854">
        <v>97</v>
      </c>
      <c r="I11" s="1854">
        <v>203</v>
      </c>
      <c r="J11" s="684">
        <f t="shared" si="0"/>
        <v>300</v>
      </c>
    </row>
    <row r="12" spans="1:11">
      <c r="C12" s="1265">
        <v>30</v>
      </c>
      <c r="D12" s="1271" t="s">
        <v>138</v>
      </c>
      <c r="E12" s="1266">
        <v>6</v>
      </c>
      <c r="G12" s="940" t="s">
        <v>284</v>
      </c>
      <c r="H12" s="1854">
        <v>99</v>
      </c>
      <c r="I12" s="1195">
        <v>175</v>
      </c>
      <c r="J12" s="684">
        <f t="shared" si="0"/>
        <v>274</v>
      </c>
    </row>
    <row r="13" spans="1:11">
      <c r="C13" s="1265">
        <v>25</v>
      </c>
      <c r="D13" s="1271" t="s">
        <v>139</v>
      </c>
      <c r="E13" s="1266">
        <v>5</v>
      </c>
      <c r="G13" s="940" t="s">
        <v>285</v>
      </c>
      <c r="H13" s="1195">
        <v>111</v>
      </c>
      <c r="I13" s="1195">
        <v>202</v>
      </c>
      <c r="J13" s="684">
        <f t="shared" si="0"/>
        <v>313</v>
      </c>
    </row>
    <row r="14" spans="1:11">
      <c r="C14" s="1265">
        <v>0</v>
      </c>
      <c r="D14" s="1271" t="s">
        <v>140</v>
      </c>
      <c r="E14" s="1266">
        <v>0</v>
      </c>
      <c r="G14" s="940" t="s">
        <v>286</v>
      </c>
      <c r="H14" s="1195">
        <v>148</v>
      </c>
      <c r="I14" s="1195">
        <v>315</v>
      </c>
      <c r="J14" s="684">
        <f t="shared" si="0"/>
        <v>463</v>
      </c>
    </row>
    <row r="15" spans="1:11">
      <c r="C15" s="1265">
        <v>0</v>
      </c>
      <c r="D15" s="1271" t="s">
        <v>142</v>
      </c>
      <c r="E15" s="1266">
        <v>0</v>
      </c>
      <c r="G15" s="940" t="s">
        <v>287</v>
      </c>
      <c r="H15" s="1195">
        <v>135.5</v>
      </c>
      <c r="I15" s="1195">
        <v>287</v>
      </c>
      <c r="J15" s="1194">
        <f t="shared" si="0"/>
        <v>422.5</v>
      </c>
    </row>
    <row r="16" spans="1:11" ht="15.75" thickBot="1">
      <c r="C16" s="1267">
        <v>0</v>
      </c>
      <c r="D16" s="1275" t="s">
        <v>144</v>
      </c>
      <c r="E16" s="1268">
        <v>0</v>
      </c>
      <c r="G16" s="943" t="s">
        <v>288</v>
      </c>
      <c r="H16" s="1196">
        <v>107</v>
      </c>
      <c r="I16" s="1196">
        <v>283</v>
      </c>
      <c r="J16" s="691">
        <f t="shared" si="0"/>
        <v>390</v>
      </c>
    </row>
    <row r="17" spans="3:10" ht="19.5" thickBot="1">
      <c r="C17" s="2163" t="s">
        <v>1200</v>
      </c>
      <c r="D17" s="2164"/>
      <c r="E17" s="1191">
        <f>SUM(E5:E16)</f>
        <v>93</v>
      </c>
    </row>
    <row r="19" spans="3:10" ht="21.6" customHeight="1">
      <c r="C19" s="2168" t="s">
        <v>1201</v>
      </c>
      <c r="D19" s="2169"/>
      <c r="E19" s="2170"/>
      <c r="G19" s="2165" t="s">
        <v>1202</v>
      </c>
      <c r="H19" s="2166"/>
      <c r="I19" s="2166"/>
      <c r="J19" s="2167"/>
    </row>
    <row r="20" spans="3:10" ht="30">
      <c r="C20" s="1276" t="s">
        <v>1194</v>
      </c>
      <c r="D20" s="1277" t="s">
        <v>121</v>
      </c>
      <c r="E20" s="1277" t="s">
        <v>1195</v>
      </c>
      <c r="G20" s="1279" t="s">
        <v>121</v>
      </c>
      <c r="H20" s="1280" t="s">
        <v>1196</v>
      </c>
      <c r="I20" s="1280" t="s">
        <v>1197</v>
      </c>
      <c r="J20" s="1281" t="s">
        <v>334</v>
      </c>
    </row>
    <row r="21" spans="3:10" ht="14.45" customHeight="1">
      <c r="C21" s="1272">
        <v>0</v>
      </c>
      <c r="D21" s="1273" t="s">
        <v>1198</v>
      </c>
      <c r="E21" s="1274">
        <v>0</v>
      </c>
      <c r="G21" s="1128" t="s">
        <v>278</v>
      </c>
      <c r="H21" s="1278">
        <v>166</v>
      </c>
      <c r="I21" s="1278">
        <v>301</v>
      </c>
      <c r="J21" s="676">
        <f>SUM(H21:I21)</f>
        <v>467</v>
      </c>
    </row>
    <row r="22" spans="3:10">
      <c r="C22" s="1265"/>
      <c r="D22" s="1271" t="s">
        <v>1199</v>
      </c>
      <c r="E22" s="1266"/>
      <c r="G22" s="940" t="s">
        <v>279</v>
      </c>
      <c r="H22" s="1195"/>
      <c r="I22" s="1195"/>
      <c r="J22" s="684">
        <f t="shared" ref="J22:J32" si="1">SUM(H22:I22)</f>
        <v>0</v>
      </c>
    </row>
    <row r="23" spans="3:10">
      <c r="C23" s="1265"/>
      <c r="D23" s="1271" t="s">
        <v>129</v>
      </c>
      <c r="E23" s="1266"/>
      <c r="G23" s="940" t="s">
        <v>280</v>
      </c>
      <c r="H23" s="1195"/>
      <c r="I23" s="1195"/>
      <c r="J23" s="684">
        <f t="shared" si="1"/>
        <v>0</v>
      </c>
    </row>
    <row r="24" spans="3:10">
      <c r="C24" s="1265"/>
      <c r="D24" s="1271" t="s">
        <v>130</v>
      </c>
      <c r="E24" s="1266"/>
      <c r="G24" s="940" t="s">
        <v>281</v>
      </c>
      <c r="H24" s="1195"/>
      <c r="I24" s="1195"/>
      <c r="J24" s="684">
        <f t="shared" si="1"/>
        <v>0</v>
      </c>
    </row>
    <row r="25" spans="3:10">
      <c r="C25" s="1265"/>
      <c r="D25" s="1271" t="s">
        <v>132</v>
      </c>
      <c r="E25" s="1266"/>
      <c r="G25" s="940" t="s">
        <v>132</v>
      </c>
      <c r="H25" s="1195"/>
      <c r="I25" s="1195"/>
      <c r="J25" s="684">
        <f t="shared" si="1"/>
        <v>0</v>
      </c>
    </row>
    <row r="26" spans="3:10">
      <c r="C26" s="1265"/>
      <c r="D26" s="1271" t="s">
        <v>134</v>
      </c>
      <c r="E26" s="1266"/>
      <c r="G26" s="940" t="s">
        <v>282</v>
      </c>
      <c r="H26" s="1195"/>
      <c r="I26" s="1195"/>
      <c r="J26" s="684">
        <f t="shared" si="1"/>
        <v>0</v>
      </c>
    </row>
    <row r="27" spans="3:10">
      <c r="C27" s="1265"/>
      <c r="D27" s="1271" t="s">
        <v>136</v>
      </c>
      <c r="E27" s="1266"/>
      <c r="G27" s="940" t="s">
        <v>283</v>
      </c>
      <c r="H27" s="1195"/>
      <c r="I27" s="1195"/>
      <c r="J27" s="684">
        <f t="shared" si="1"/>
        <v>0</v>
      </c>
    </row>
    <row r="28" spans="3:10">
      <c r="C28" s="1265"/>
      <c r="D28" s="1271" t="s">
        <v>138</v>
      </c>
      <c r="E28" s="1266"/>
      <c r="G28" s="940" t="s">
        <v>284</v>
      </c>
      <c r="H28" s="1195"/>
      <c r="I28" s="1195"/>
      <c r="J28" s="684">
        <f t="shared" si="1"/>
        <v>0</v>
      </c>
    </row>
    <row r="29" spans="3:10">
      <c r="C29" s="1265"/>
      <c r="D29" s="1271" t="s">
        <v>139</v>
      </c>
      <c r="E29" s="1266"/>
      <c r="G29" s="940" t="s">
        <v>285</v>
      </c>
      <c r="H29" s="1195"/>
      <c r="I29" s="1195"/>
      <c r="J29" s="684">
        <f t="shared" si="1"/>
        <v>0</v>
      </c>
    </row>
    <row r="30" spans="3:10">
      <c r="C30" s="1265"/>
      <c r="D30" s="1271" t="s">
        <v>140</v>
      </c>
      <c r="E30" s="1266"/>
      <c r="G30" s="940" t="s">
        <v>286</v>
      </c>
      <c r="H30" s="1195"/>
      <c r="I30" s="1195"/>
      <c r="J30" s="684">
        <f t="shared" si="1"/>
        <v>0</v>
      </c>
    </row>
    <row r="31" spans="3:10">
      <c r="C31" s="1265"/>
      <c r="D31" s="1271" t="s">
        <v>142</v>
      </c>
      <c r="E31" s="1266"/>
      <c r="G31" s="940" t="s">
        <v>287</v>
      </c>
      <c r="H31" s="1195"/>
      <c r="I31" s="1195"/>
      <c r="J31" s="1194">
        <f t="shared" si="1"/>
        <v>0</v>
      </c>
    </row>
    <row r="32" spans="3:10">
      <c r="C32" s="1267"/>
      <c r="D32" s="1275" t="s">
        <v>144</v>
      </c>
      <c r="E32" s="1268"/>
      <c r="G32" s="943" t="s">
        <v>288</v>
      </c>
      <c r="H32" s="1196"/>
      <c r="I32" s="1196"/>
      <c r="J32" s="691">
        <f t="shared" si="1"/>
        <v>0</v>
      </c>
    </row>
    <row r="33" spans="3:5" ht="18.600000000000001" customHeight="1">
      <c r="C33" s="2163" t="s">
        <v>1200</v>
      </c>
      <c r="D33" s="2164"/>
      <c r="E33" s="1191">
        <f>SUM(E21:E32)</f>
        <v>0</v>
      </c>
    </row>
  </sheetData>
  <mergeCells count="7">
    <mergeCell ref="C33:D33"/>
    <mergeCell ref="C1:K1"/>
    <mergeCell ref="G3:J3"/>
    <mergeCell ref="G19:J19"/>
    <mergeCell ref="C19:E19"/>
    <mergeCell ref="C3:E3"/>
    <mergeCell ref="C17:D17"/>
  </mergeCells>
  <phoneticPr fontId="91" type="noConversion"/>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DFDB4-67EC-4DD2-AE0C-B33FF33E591C}">
  <dimension ref="A4:K18"/>
  <sheetViews>
    <sheetView showGridLines="0" workbookViewId="0">
      <selection activeCell="R6" sqref="R6"/>
    </sheetView>
  </sheetViews>
  <sheetFormatPr defaultRowHeight="15"/>
  <cols>
    <col min="1" max="1" width="22" bestFit="1" customWidth="1"/>
    <col min="2" max="2" width="2.140625" customWidth="1"/>
    <col min="3" max="3" width="20.42578125" bestFit="1" customWidth="1"/>
    <col min="4" max="4" width="9.7109375" bestFit="1" customWidth="1"/>
    <col min="5" max="5" width="6.42578125" bestFit="1" customWidth="1"/>
    <col min="6" max="6" width="7" bestFit="1" customWidth="1"/>
    <col min="8" max="8" width="20.42578125" bestFit="1" customWidth="1"/>
  </cols>
  <sheetData>
    <row r="4" spans="1:11">
      <c r="C4" s="1374">
        <v>2023</v>
      </c>
      <c r="H4" s="1374">
        <v>2024</v>
      </c>
    </row>
    <row r="5" spans="1:11">
      <c r="A5" s="880" t="s">
        <v>338</v>
      </c>
      <c r="C5" s="1370" t="s">
        <v>1203</v>
      </c>
      <c r="D5" s="1370" t="s">
        <v>1204</v>
      </c>
      <c r="E5" s="1370" t="s">
        <v>1205</v>
      </c>
      <c r="F5" s="1370" t="s">
        <v>334</v>
      </c>
      <c r="H5" s="1370" t="s">
        <v>1203</v>
      </c>
      <c r="I5" s="1370" t="s">
        <v>1204</v>
      </c>
      <c r="J5" s="1370" t="s">
        <v>1205</v>
      </c>
      <c r="K5" s="1370" t="s">
        <v>334</v>
      </c>
    </row>
    <row r="6" spans="1:11">
      <c r="A6" s="881" t="s">
        <v>1206</v>
      </c>
      <c r="C6" s="612" t="s">
        <v>278</v>
      </c>
      <c r="D6" s="612"/>
      <c r="E6" s="612"/>
      <c r="F6" s="1372">
        <f t="shared" ref="F6:F9" si="0">D6+E6</f>
        <v>0</v>
      </c>
      <c r="H6" s="612" t="s">
        <v>278</v>
      </c>
      <c r="I6" s="612">
        <v>0</v>
      </c>
      <c r="J6" s="612">
        <v>0</v>
      </c>
      <c r="K6" s="1372">
        <f t="shared" ref="K6:K9" si="1">I6+J6</f>
        <v>0</v>
      </c>
    </row>
    <row r="7" spans="1:11">
      <c r="A7" t="s">
        <v>109</v>
      </c>
      <c r="C7" s="612" t="s">
        <v>279</v>
      </c>
      <c r="D7" s="612"/>
      <c r="E7" s="612"/>
      <c r="F7" s="1372">
        <f t="shared" si="0"/>
        <v>0</v>
      </c>
      <c r="H7" s="612" t="s">
        <v>279</v>
      </c>
      <c r="I7" s="612"/>
      <c r="J7" s="612"/>
      <c r="K7" s="1372">
        <f t="shared" si="1"/>
        <v>0</v>
      </c>
    </row>
    <row r="8" spans="1:11">
      <c r="C8" s="612" t="s">
        <v>280</v>
      </c>
      <c r="D8" s="612"/>
      <c r="E8" s="612"/>
      <c r="F8" s="1372">
        <f t="shared" si="0"/>
        <v>0</v>
      </c>
      <c r="H8" s="612" t="s">
        <v>280</v>
      </c>
      <c r="I8" s="612"/>
      <c r="J8" s="612"/>
      <c r="K8" s="1372">
        <f t="shared" si="1"/>
        <v>0</v>
      </c>
    </row>
    <row r="9" spans="1:11">
      <c r="C9" s="612" t="s">
        <v>281</v>
      </c>
      <c r="D9" s="612"/>
      <c r="E9" s="612"/>
      <c r="F9" s="1372">
        <f t="shared" si="0"/>
        <v>0</v>
      </c>
      <c r="H9" s="612" t="s">
        <v>281</v>
      </c>
      <c r="I9" s="612"/>
      <c r="J9" s="612"/>
      <c r="K9" s="1372">
        <f t="shared" si="1"/>
        <v>0</v>
      </c>
    </row>
    <row r="10" spans="1:11">
      <c r="C10" s="612" t="s">
        <v>132</v>
      </c>
      <c r="D10" s="1041">
        <v>21</v>
      </c>
      <c r="E10" s="1371">
        <v>160</v>
      </c>
      <c r="F10" s="1372">
        <f>D10+E10</f>
        <v>181</v>
      </c>
      <c r="H10" s="612" t="s">
        <v>132</v>
      </c>
      <c r="I10" s="1041"/>
      <c r="J10" s="1371"/>
      <c r="K10" s="1372">
        <f>I10+J10</f>
        <v>0</v>
      </c>
    </row>
    <row r="11" spans="1:11">
      <c r="C11" s="612" t="s">
        <v>134</v>
      </c>
      <c r="D11" s="1041">
        <v>118</v>
      </c>
      <c r="E11" s="1371">
        <v>185</v>
      </c>
      <c r="F11" s="1372">
        <f t="shared" ref="F11:F16" si="2">D11+E11</f>
        <v>303</v>
      </c>
      <c r="H11" s="612" t="s">
        <v>134</v>
      </c>
      <c r="I11" s="1041"/>
      <c r="J11" s="1371"/>
      <c r="K11" s="1372">
        <f t="shared" ref="K11:K17" si="3">I11+J11</f>
        <v>0</v>
      </c>
    </row>
    <row r="12" spans="1:11">
      <c r="C12" s="612" t="s">
        <v>136</v>
      </c>
      <c r="D12" s="1041">
        <f>542-444</f>
        <v>98</v>
      </c>
      <c r="E12" s="1371">
        <f>905-835</f>
        <v>70</v>
      </c>
      <c r="F12" s="1372">
        <f t="shared" si="2"/>
        <v>168</v>
      </c>
      <c r="H12" s="612" t="s">
        <v>136</v>
      </c>
      <c r="I12" s="1041"/>
      <c r="J12" s="1371"/>
      <c r="K12" s="1372">
        <f t="shared" si="3"/>
        <v>0</v>
      </c>
    </row>
    <row r="13" spans="1:11">
      <c r="C13" s="612" t="s">
        <v>138</v>
      </c>
      <c r="D13" s="1041">
        <f>842-542</f>
        <v>300</v>
      </c>
      <c r="E13" s="1371">
        <f>1321-905</f>
        <v>416</v>
      </c>
      <c r="F13" s="1372">
        <f t="shared" si="2"/>
        <v>716</v>
      </c>
      <c r="H13" s="612" t="s">
        <v>138</v>
      </c>
      <c r="I13" s="1041"/>
      <c r="J13" s="1371"/>
      <c r="K13" s="1372">
        <f t="shared" si="3"/>
        <v>0</v>
      </c>
    </row>
    <row r="14" spans="1:11">
      <c r="C14" s="612" t="s">
        <v>139</v>
      </c>
      <c r="D14" s="1041">
        <f>991-842</f>
        <v>149</v>
      </c>
      <c r="E14" s="1373">
        <f>1330-1321</f>
        <v>9</v>
      </c>
      <c r="F14" s="1372">
        <f t="shared" si="2"/>
        <v>158</v>
      </c>
      <c r="H14" s="612" t="s">
        <v>139</v>
      </c>
      <c r="I14" s="1041"/>
      <c r="J14" s="1373"/>
      <c r="K14" s="1372">
        <f t="shared" si="3"/>
        <v>0</v>
      </c>
    </row>
    <row r="15" spans="1:11">
      <c r="C15" s="612" t="s">
        <v>140</v>
      </c>
      <c r="D15" s="1041">
        <f>1097-991</f>
        <v>106</v>
      </c>
      <c r="E15" s="1041">
        <f>1373-1330</f>
        <v>43</v>
      </c>
      <c r="F15" s="1372">
        <f t="shared" si="2"/>
        <v>149</v>
      </c>
      <c r="H15" s="612" t="s">
        <v>140</v>
      </c>
      <c r="I15" s="1041"/>
      <c r="J15" s="1041"/>
      <c r="K15" s="1372">
        <f t="shared" si="3"/>
        <v>0</v>
      </c>
    </row>
    <row r="16" spans="1:11">
      <c r="C16" s="612" t="s">
        <v>287</v>
      </c>
      <c r="D16" s="1041">
        <f>1132-1097</f>
        <v>35</v>
      </c>
      <c r="E16" s="1041">
        <f>1373-1373</f>
        <v>0</v>
      </c>
      <c r="F16" s="1372">
        <f t="shared" si="2"/>
        <v>35</v>
      </c>
      <c r="H16" s="612" t="s">
        <v>287</v>
      </c>
      <c r="I16" s="1041"/>
      <c r="J16" s="1041"/>
      <c r="K16" s="1372">
        <f t="shared" si="3"/>
        <v>0</v>
      </c>
    </row>
    <row r="17" spans="3:11">
      <c r="C17" s="612" t="s">
        <v>288</v>
      </c>
      <c r="D17" s="612">
        <v>0</v>
      </c>
      <c r="E17" s="612">
        <v>0</v>
      </c>
      <c r="F17" s="1372">
        <v>0</v>
      </c>
      <c r="H17" s="612" t="s">
        <v>288</v>
      </c>
      <c r="I17" s="612"/>
      <c r="J17" s="612"/>
      <c r="K17" s="1372">
        <f t="shared" si="3"/>
        <v>0</v>
      </c>
    </row>
    <row r="18" spans="3:11">
      <c r="C18" s="612" t="s">
        <v>1207</v>
      </c>
      <c r="D18" s="1041">
        <f>SUM(D6:D17)</f>
        <v>827</v>
      </c>
      <c r="E18" s="1041">
        <f>SUM(E6:E17)</f>
        <v>883</v>
      </c>
      <c r="F18" s="1372">
        <f>D18+E18</f>
        <v>1710</v>
      </c>
      <c r="H18" s="612" t="s">
        <v>1207</v>
      </c>
      <c r="I18" s="1041">
        <f>SUM(I6:I17)</f>
        <v>0</v>
      </c>
      <c r="J18" s="1041">
        <f>SUM(J6:J17)</f>
        <v>0</v>
      </c>
      <c r="K18" s="1372">
        <f>I18+J18</f>
        <v>0</v>
      </c>
    </row>
  </sheetData>
  <phoneticPr fontId="91" type="noConversion"/>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E2E18-DF73-4DC8-9850-EAE92E573D35}">
  <dimension ref="A3:K16"/>
  <sheetViews>
    <sheetView showGridLines="0" workbookViewId="0">
      <selection activeCell="J6" sqref="J6"/>
    </sheetView>
  </sheetViews>
  <sheetFormatPr defaultRowHeight="15"/>
  <cols>
    <col min="1" max="1" width="31.5703125" bestFit="1" customWidth="1"/>
    <col min="3" max="3" width="8.7109375" bestFit="1" customWidth="1"/>
    <col min="4" max="4" width="4.5703125" bestFit="1" customWidth="1"/>
    <col min="5" max="5" width="23" bestFit="1" customWidth="1"/>
    <col min="6" max="6" width="15.5703125" bestFit="1" customWidth="1"/>
    <col min="8" max="8" width="8.7109375" bestFit="1" customWidth="1"/>
    <col min="9" max="9" width="4.5703125" bestFit="1" customWidth="1"/>
    <col min="10" max="10" width="23" bestFit="1" customWidth="1"/>
    <col min="11" max="11" width="15.5703125" bestFit="1" customWidth="1"/>
  </cols>
  <sheetData>
    <row r="3" spans="1:11" ht="19.5" thickBot="1">
      <c r="C3" s="1366">
        <v>2023</v>
      </c>
      <c r="H3" s="1366">
        <v>2024</v>
      </c>
    </row>
    <row r="4" spans="1:11" ht="19.5" thickBot="1">
      <c r="A4" s="880" t="s">
        <v>338</v>
      </c>
      <c r="C4" s="1367" t="s">
        <v>121</v>
      </c>
      <c r="D4" s="1368" t="s">
        <v>1208</v>
      </c>
      <c r="E4" s="1368" t="s">
        <v>1209</v>
      </c>
      <c r="F4" s="1369" t="s">
        <v>1210</v>
      </c>
      <c r="H4" s="1367" t="s">
        <v>121</v>
      </c>
      <c r="I4" s="1368" t="s">
        <v>1208</v>
      </c>
      <c r="J4" s="1368" t="s">
        <v>1209</v>
      </c>
      <c r="K4" s="1369" t="s">
        <v>1210</v>
      </c>
    </row>
    <row r="5" spans="1:11">
      <c r="A5" s="881" t="s">
        <v>1206</v>
      </c>
      <c r="C5" s="1128" t="s">
        <v>278</v>
      </c>
      <c r="D5" s="499"/>
      <c r="E5" s="499">
        <v>55.4</v>
      </c>
      <c r="F5" s="676">
        <f>SUM(D5:E5)</f>
        <v>55.4</v>
      </c>
      <c r="H5" s="1128" t="s">
        <v>278</v>
      </c>
      <c r="I5" s="499">
        <v>33</v>
      </c>
      <c r="J5" s="499">
        <v>180.2</v>
      </c>
      <c r="K5" s="676">
        <f>SUM(I5:J5)</f>
        <v>213.2</v>
      </c>
    </row>
    <row r="6" spans="1:11">
      <c r="A6" t="s">
        <v>1211</v>
      </c>
      <c r="C6" s="940" t="s">
        <v>279</v>
      </c>
      <c r="D6" s="651"/>
      <c r="E6" s="651">
        <v>105.9</v>
      </c>
      <c r="F6" s="684">
        <f t="shared" ref="F6:F16" si="0">SUM(D6:E6)</f>
        <v>105.9</v>
      </c>
      <c r="H6" s="940" t="s">
        <v>279</v>
      </c>
      <c r="I6" s="651"/>
      <c r="J6" s="651"/>
      <c r="K6" s="684">
        <f t="shared" ref="K6:K16" si="1">SUM(I6:J6)</f>
        <v>0</v>
      </c>
    </row>
    <row r="7" spans="1:11">
      <c r="C7" s="940" t="s">
        <v>280</v>
      </c>
      <c r="D7" s="651"/>
      <c r="E7" s="651">
        <v>78.5</v>
      </c>
      <c r="F7" s="684">
        <f t="shared" si="0"/>
        <v>78.5</v>
      </c>
      <c r="H7" s="940" t="s">
        <v>280</v>
      </c>
      <c r="I7" s="651"/>
      <c r="J7" s="651"/>
      <c r="K7" s="684">
        <f t="shared" si="1"/>
        <v>0</v>
      </c>
    </row>
    <row r="8" spans="1:11">
      <c r="C8" s="940" t="s">
        <v>281</v>
      </c>
      <c r="D8" s="651"/>
      <c r="E8" s="651">
        <v>96.6</v>
      </c>
      <c r="F8" s="684">
        <f t="shared" si="0"/>
        <v>96.6</v>
      </c>
      <c r="H8" s="940" t="s">
        <v>281</v>
      </c>
      <c r="I8" s="651"/>
      <c r="J8" s="651"/>
      <c r="K8" s="684">
        <f t="shared" si="1"/>
        <v>0</v>
      </c>
    </row>
    <row r="9" spans="1:11">
      <c r="C9" s="940" t="s">
        <v>132</v>
      </c>
      <c r="D9" s="651">
        <v>15</v>
      </c>
      <c r="E9" s="651">
        <v>129.4</v>
      </c>
      <c r="F9" s="684">
        <f t="shared" si="0"/>
        <v>144.4</v>
      </c>
      <c r="H9" s="940" t="s">
        <v>132</v>
      </c>
      <c r="I9" s="651"/>
      <c r="J9" s="651"/>
      <c r="K9" s="684">
        <f t="shared" si="1"/>
        <v>0</v>
      </c>
    </row>
    <row r="10" spans="1:11">
      <c r="C10" s="940" t="s">
        <v>282</v>
      </c>
      <c r="D10" s="651">
        <v>10</v>
      </c>
      <c r="E10" s="651">
        <v>194</v>
      </c>
      <c r="F10" s="684">
        <f t="shared" si="0"/>
        <v>204</v>
      </c>
      <c r="H10" s="940" t="s">
        <v>282</v>
      </c>
      <c r="I10" s="651"/>
      <c r="J10" s="651"/>
      <c r="K10" s="684">
        <f t="shared" si="1"/>
        <v>0</v>
      </c>
    </row>
    <row r="11" spans="1:11">
      <c r="C11" s="940" t="s">
        <v>283</v>
      </c>
      <c r="D11" s="651">
        <v>6</v>
      </c>
      <c r="E11" s="651">
        <v>153.69999999999999</v>
      </c>
      <c r="F11" s="684">
        <f t="shared" si="0"/>
        <v>159.69999999999999</v>
      </c>
      <c r="H11" s="940" t="s">
        <v>283</v>
      </c>
      <c r="I11" s="651"/>
      <c r="J11" s="651"/>
      <c r="K11" s="684">
        <f t="shared" si="1"/>
        <v>0</v>
      </c>
    </row>
    <row r="12" spans="1:11">
      <c r="C12" s="940" t="s">
        <v>284</v>
      </c>
      <c r="D12" s="651">
        <v>31</v>
      </c>
      <c r="E12" s="651">
        <v>170.9</v>
      </c>
      <c r="F12" s="684">
        <f t="shared" si="0"/>
        <v>201.9</v>
      </c>
      <c r="H12" s="940" t="s">
        <v>284</v>
      </c>
      <c r="I12" s="651"/>
      <c r="J12" s="651"/>
      <c r="K12" s="684">
        <f t="shared" si="1"/>
        <v>0</v>
      </c>
    </row>
    <row r="13" spans="1:11">
      <c r="C13" s="940" t="s">
        <v>285</v>
      </c>
      <c r="D13" s="651">
        <v>38</v>
      </c>
      <c r="E13" s="651">
        <v>189.4</v>
      </c>
      <c r="F13" s="684">
        <f t="shared" si="0"/>
        <v>227.4</v>
      </c>
      <c r="H13" s="940" t="s">
        <v>285</v>
      </c>
      <c r="I13" s="651"/>
      <c r="J13" s="651"/>
      <c r="K13" s="684">
        <f t="shared" si="1"/>
        <v>0</v>
      </c>
    </row>
    <row r="14" spans="1:11">
      <c r="C14" s="940" t="s">
        <v>286</v>
      </c>
      <c r="D14" s="651">
        <v>62</v>
      </c>
      <c r="E14" s="651">
        <v>268.39999999999998</v>
      </c>
      <c r="F14" s="684">
        <f t="shared" si="0"/>
        <v>330.4</v>
      </c>
      <c r="H14" s="940" t="s">
        <v>286</v>
      </c>
      <c r="I14" s="651"/>
      <c r="J14" s="651"/>
      <c r="K14" s="684">
        <f t="shared" si="1"/>
        <v>0</v>
      </c>
    </row>
    <row r="15" spans="1:11">
      <c r="C15" s="940" t="s">
        <v>287</v>
      </c>
      <c r="D15" s="651">
        <v>50</v>
      </c>
      <c r="E15" s="651">
        <v>240.2</v>
      </c>
      <c r="F15" s="684">
        <f t="shared" si="0"/>
        <v>290.2</v>
      </c>
      <c r="H15" s="940" t="s">
        <v>287</v>
      </c>
      <c r="I15" s="651"/>
      <c r="J15" s="651"/>
      <c r="K15" s="684">
        <f t="shared" si="1"/>
        <v>0</v>
      </c>
    </row>
    <row r="16" spans="1:11" ht="15.75" thickBot="1">
      <c r="C16" s="943" t="s">
        <v>288</v>
      </c>
      <c r="D16" s="713">
        <v>38</v>
      </c>
      <c r="E16" s="713">
        <v>226.4</v>
      </c>
      <c r="F16" s="691">
        <f t="shared" si="0"/>
        <v>264.39999999999998</v>
      </c>
      <c r="H16" s="943" t="s">
        <v>288</v>
      </c>
      <c r="I16" s="713"/>
      <c r="J16" s="713"/>
      <c r="K16" s="691">
        <f t="shared" si="1"/>
        <v>0</v>
      </c>
    </row>
  </sheetData>
  <phoneticPr fontId="91" type="noConversion"/>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4FBC8-119F-4EF2-BF48-1943870E5087}">
  <dimension ref="A1:AC40"/>
  <sheetViews>
    <sheetView showGridLines="0" zoomScaleNormal="100" workbookViewId="0">
      <pane xSplit="3" ySplit="4" topLeftCell="S5" activePane="bottomRight" state="frozen"/>
      <selection pane="topRight" activeCell="D1" sqref="D1"/>
      <selection pane="bottomLeft" activeCell="A5" sqref="A5"/>
      <selection pane="bottomRight" activeCell="W20" sqref="W20"/>
    </sheetView>
  </sheetViews>
  <sheetFormatPr defaultRowHeight="15"/>
  <cols>
    <col min="1" max="1" width="22" bestFit="1" customWidth="1"/>
    <col min="2" max="2" width="1" customWidth="1"/>
    <col min="3" max="3" width="10.85546875" bestFit="1" customWidth="1"/>
    <col min="4" max="4" width="13.85546875" bestFit="1" customWidth="1"/>
    <col min="5" max="5" width="15.28515625" bestFit="1" customWidth="1"/>
    <col min="6" max="6" width="18.85546875" bestFit="1" customWidth="1"/>
    <col min="7" max="7" width="13.7109375" bestFit="1" customWidth="1"/>
    <col min="8" max="8" width="17.28515625" bestFit="1" customWidth="1"/>
    <col min="9" max="9" width="10.5703125" bestFit="1" customWidth="1"/>
    <col min="10" max="10" width="5.5703125" customWidth="1"/>
    <col min="11" max="11" width="13.7109375" bestFit="1" customWidth="1"/>
    <col min="12" max="12" width="15.140625" bestFit="1" customWidth="1"/>
    <col min="13" max="13" width="18.7109375" bestFit="1" customWidth="1"/>
    <col min="14" max="14" width="13.5703125" bestFit="1" customWidth="1"/>
    <col min="15" max="15" width="17" bestFit="1" customWidth="1"/>
    <col min="16" max="16" width="9.28515625" bestFit="1" customWidth="1"/>
    <col min="17" max="17" width="3.85546875" customWidth="1"/>
    <col min="18" max="18" width="13.5703125" bestFit="1" customWidth="1"/>
    <col min="19" max="19" width="15" bestFit="1" customWidth="1"/>
    <col min="20" max="20" width="18.5703125" bestFit="1" customWidth="1"/>
    <col min="21" max="21" width="13.42578125" bestFit="1" customWidth="1"/>
    <col min="22" max="22" width="16.85546875" bestFit="1" customWidth="1"/>
    <col min="23" max="23" width="9.28515625" bestFit="1" customWidth="1"/>
    <col min="24" max="24" width="7.7109375" customWidth="1"/>
    <col min="25" max="25" width="23.140625" bestFit="1" customWidth="1"/>
    <col min="26" max="26" width="11.85546875" bestFit="1" customWidth="1"/>
    <col min="27" max="27" width="23.7109375" bestFit="1" customWidth="1"/>
    <col min="29" max="29" width="11.5703125" bestFit="1" customWidth="1"/>
  </cols>
  <sheetData>
    <row r="1" spans="1:29" ht="18.75">
      <c r="C1" s="2057" t="s">
        <v>1122</v>
      </c>
      <c r="D1" s="2057"/>
      <c r="E1" s="2057"/>
      <c r="F1" s="2057"/>
      <c r="G1" s="2057"/>
      <c r="H1" s="2057"/>
      <c r="I1" s="2057"/>
      <c r="J1" s="2057"/>
      <c r="K1" s="2057"/>
    </row>
    <row r="2" spans="1:29" ht="15.75" thickBot="1"/>
    <row r="3" spans="1:29" ht="15.75" thickBot="1">
      <c r="D3" s="2171" t="s">
        <v>1212</v>
      </c>
      <c r="E3" s="2172"/>
      <c r="F3" s="2172"/>
      <c r="G3" s="2172"/>
      <c r="H3" s="2172"/>
      <c r="I3" s="2173"/>
      <c r="K3" s="2171" t="s">
        <v>1213</v>
      </c>
      <c r="L3" s="2172"/>
      <c r="M3" s="2172"/>
      <c r="N3" s="2172"/>
      <c r="O3" s="2172"/>
      <c r="P3" s="2173"/>
      <c r="R3" s="2171" t="s">
        <v>1214</v>
      </c>
      <c r="S3" s="2172"/>
      <c r="T3" s="2172"/>
      <c r="U3" s="2172"/>
      <c r="V3" s="2172"/>
      <c r="W3" s="2173"/>
    </row>
    <row r="4" spans="1:29" ht="16.5" thickBot="1">
      <c r="A4" s="880" t="s">
        <v>338</v>
      </c>
      <c r="C4" s="1197" t="s">
        <v>121</v>
      </c>
      <c r="D4" s="1198" t="s">
        <v>1215</v>
      </c>
      <c r="E4" s="1199" t="s">
        <v>1216</v>
      </c>
      <c r="F4" s="1200" t="s">
        <v>1217</v>
      </c>
      <c r="G4" s="1201" t="s">
        <v>1218</v>
      </c>
      <c r="H4" s="1202" t="s">
        <v>1219</v>
      </c>
      <c r="I4" s="1203" t="s">
        <v>903</v>
      </c>
      <c r="J4" s="1204"/>
      <c r="K4" s="1205" t="s">
        <v>1220</v>
      </c>
      <c r="L4" s="1206" t="s">
        <v>1221</v>
      </c>
      <c r="M4" s="1207" t="s">
        <v>1222</v>
      </c>
      <c r="N4" s="1208" t="s">
        <v>1223</v>
      </c>
      <c r="O4" s="1209" t="s">
        <v>1224</v>
      </c>
      <c r="P4" s="1210" t="s">
        <v>903</v>
      </c>
      <c r="Q4" s="1204"/>
      <c r="R4" s="1211" t="s">
        <v>1225</v>
      </c>
      <c r="S4" s="1212" t="s">
        <v>1226</v>
      </c>
      <c r="T4" s="1213" t="s">
        <v>1227</v>
      </c>
      <c r="U4" s="1214" t="s">
        <v>1228</v>
      </c>
      <c r="V4" s="1215" t="s">
        <v>1229</v>
      </c>
      <c r="W4" s="1216" t="s">
        <v>903</v>
      </c>
      <c r="X4" s="1217"/>
      <c r="Y4" s="1218" t="s">
        <v>1230</v>
      </c>
      <c r="Z4" s="1219" t="s">
        <v>1231</v>
      </c>
      <c r="AA4" s="1210" t="s">
        <v>1232</v>
      </c>
    </row>
    <row r="5" spans="1:29">
      <c r="A5" t="s">
        <v>240</v>
      </c>
      <c r="C5" s="1220" t="s">
        <v>127</v>
      </c>
      <c r="D5" s="1221">
        <v>0</v>
      </c>
      <c r="E5" s="1222">
        <v>1870524</v>
      </c>
      <c r="F5" s="1223">
        <f t="shared" ref="F5:F16" si="0">E5/12</f>
        <v>155877</v>
      </c>
      <c r="G5" s="1222">
        <v>20880</v>
      </c>
      <c r="H5" s="1224">
        <f t="shared" ref="H5:H16" si="1">G5/24</f>
        <v>870</v>
      </c>
      <c r="I5" s="1225">
        <f t="shared" ref="I5:I16" si="2">H5+F5+D5</f>
        <v>156747</v>
      </c>
      <c r="J5" s="1226"/>
      <c r="K5" s="1227">
        <v>403.71</v>
      </c>
      <c r="L5" s="1228">
        <v>0</v>
      </c>
      <c r="M5" s="1229">
        <f t="shared" ref="M5:M15" si="3">L5/12</f>
        <v>0</v>
      </c>
      <c r="N5" s="1228">
        <v>0</v>
      </c>
      <c r="O5" s="1229">
        <f t="shared" ref="O5:O15" si="4">N5/24</f>
        <v>0</v>
      </c>
      <c r="P5" s="1225">
        <f t="shared" ref="P5:P16" si="5">O5+M5+K5</f>
        <v>403.71</v>
      </c>
      <c r="Q5" s="1226"/>
      <c r="R5" s="1227">
        <v>107.27</v>
      </c>
      <c r="S5" s="1228">
        <v>0</v>
      </c>
      <c r="T5" s="1229">
        <f t="shared" ref="T5:T16" si="6">S5/12</f>
        <v>0</v>
      </c>
      <c r="U5" s="1228">
        <v>12.38</v>
      </c>
      <c r="V5" s="1229">
        <f t="shared" ref="V5:V16" si="7">U5/24</f>
        <v>0.51583333333333337</v>
      </c>
      <c r="W5" s="1225">
        <f t="shared" ref="W5:W16" si="8">V5+T5+R5</f>
        <v>107.78583333333333</v>
      </c>
      <c r="X5" s="1230"/>
      <c r="Y5" s="1231">
        <f t="shared" ref="Y5:Y16" si="9">W5+P5+I5</f>
        <v>157258.49583333332</v>
      </c>
      <c r="Z5" s="1227">
        <f>'Export Data'!D24</f>
        <v>1.2796879135366681</v>
      </c>
      <c r="AA5" s="1225">
        <f t="shared" ref="AA5:AA15" si="10">Z5*Y5</f>
        <v>201241.79641887313</v>
      </c>
      <c r="AC5" s="879"/>
    </row>
    <row r="6" spans="1:29">
      <c r="C6" s="1232" t="s">
        <v>128</v>
      </c>
      <c r="D6" s="1233">
        <v>0</v>
      </c>
      <c r="E6" s="1234">
        <v>1936968</v>
      </c>
      <c r="F6" s="1235">
        <f t="shared" si="0"/>
        <v>161414</v>
      </c>
      <c r="G6" s="1234">
        <v>0</v>
      </c>
      <c r="H6" s="1224">
        <f t="shared" si="1"/>
        <v>0</v>
      </c>
      <c r="I6" s="1236">
        <f t="shared" si="2"/>
        <v>161414</v>
      </c>
      <c r="J6" s="1226"/>
      <c r="K6" s="1237">
        <v>384.23</v>
      </c>
      <c r="L6" s="1238">
        <v>0</v>
      </c>
      <c r="M6" s="1239">
        <f t="shared" si="3"/>
        <v>0</v>
      </c>
      <c r="N6" s="1238">
        <v>0</v>
      </c>
      <c r="O6" s="1239">
        <f t="shared" si="4"/>
        <v>0</v>
      </c>
      <c r="P6" s="1236">
        <f t="shared" si="5"/>
        <v>384.23</v>
      </c>
      <c r="Q6" s="1226"/>
      <c r="R6" s="1237">
        <v>894.75</v>
      </c>
      <c r="S6" s="1238">
        <v>0</v>
      </c>
      <c r="T6" s="1239">
        <f t="shared" si="6"/>
        <v>0</v>
      </c>
      <c r="U6" s="1238">
        <v>0</v>
      </c>
      <c r="V6" s="1239">
        <f t="shared" si="7"/>
        <v>0</v>
      </c>
      <c r="W6" s="1236">
        <f t="shared" si="8"/>
        <v>894.75</v>
      </c>
      <c r="X6" s="1230"/>
      <c r="Y6" s="1231">
        <f t="shared" si="9"/>
        <v>162692.98000000001</v>
      </c>
      <c r="Z6" s="1237">
        <f>'Export Data'!E24</f>
        <v>1.1138800503841431</v>
      </c>
      <c r="AA6" s="1236">
        <f t="shared" si="10"/>
        <v>181220.46475954639</v>
      </c>
      <c r="AC6" s="879"/>
    </row>
    <row r="7" spans="1:29">
      <c r="C7" s="1232" t="s">
        <v>129</v>
      </c>
      <c r="D7" s="1233">
        <v>0</v>
      </c>
      <c r="E7" s="1234">
        <v>1793074</v>
      </c>
      <c r="F7" s="1235">
        <f t="shared" si="0"/>
        <v>149422.83333333334</v>
      </c>
      <c r="G7" s="1234">
        <v>0</v>
      </c>
      <c r="H7" s="1224">
        <f t="shared" si="1"/>
        <v>0</v>
      </c>
      <c r="I7" s="1236">
        <f t="shared" si="2"/>
        <v>149422.83333333334</v>
      </c>
      <c r="J7" s="1226"/>
      <c r="K7" s="1237">
        <v>462.7</v>
      </c>
      <c r="L7" s="1238">
        <v>0</v>
      </c>
      <c r="M7" s="1239">
        <f t="shared" si="3"/>
        <v>0</v>
      </c>
      <c r="N7" s="1238">
        <v>0</v>
      </c>
      <c r="O7" s="1239">
        <f t="shared" si="4"/>
        <v>0</v>
      </c>
      <c r="P7" s="1236">
        <f t="shared" si="5"/>
        <v>462.7</v>
      </c>
      <c r="Q7" s="1226"/>
      <c r="R7" s="1237">
        <v>486.33</v>
      </c>
      <c r="S7" s="1238">
        <v>0</v>
      </c>
      <c r="T7" s="1239">
        <f t="shared" si="6"/>
        <v>0</v>
      </c>
      <c r="U7" s="1238">
        <v>0</v>
      </c>
      <c r="V7" s="1239">
        <f t="shared" si="7"/>
        <v>0</v>
      </c>
      <c r="W7" s="1236">
        <f t="shared" si="8"/>
        <v>486.33</v>
      </c>
      <c r="X7" s="1230"/>
      <c r="Y7" s="1231">
        <f t="shared" si="9"/>
        <v>150371.86333333334</v>
      </c>
      <c r="Z7" s="1237">
        <f>'Export Data'!F24</f>
        <v>1.3033497818466047</v>
      </c>
      <c r="AA7" s="1236">
        <f t="shared" si="10"/>
        <v>195987.13527136747</v>
      </c>
      <c r="AC7" s="879"/>
    </row>
    <row r="8" spans="1:29">
      <c r="C8" s="1232" t="s">
        <v>130</v>
      </c>
      <c r="D8" s="1233">
        <v>0</v>
      </c>
      <c r="E8" s="1234">
        <v>2090020</v>
      </c>
      <c r="F8" s="1235">
        <f t="shared" si="0"/>
        <v>174168.33333333334</v>
      </c>
      <c r="G8" s="1234">
        <v>0</v>
      </c>
      <c r="H8" s="1224">
        <f t="shared" si="1"/>
        <v>0</v>
      </c>
      <c r="I8" s="1236">
        <f t="shared" si="2"/>
        <v>174168.33333333334</v>
      </c>
      <c r="J8" s="1226"/>
      <c r="K8" s="1237">
        <v>425.49</v>
      </c>
      <c r="L8" s="1238">
        <v>0</v>
      </c>
      <c r="M8" s="1239">
        <f t="shared" si="3"/>
        <v>0</v>
      </c>
      <c r="N8" s="1238"/>
      <c r="O8" s="1239">
        <f t="shared" si="4"/>
        <v>0</v>
      </c>
      <c r="P8" s="1236">
        <f t="shared" si="5"/>
        <v>425.49</v>
      </c>
      <c r="Q8" s="1226"/>
      <c r="R8" s="1237">
        <v>669.96</v>
      </c>
      <c r="S8" s="1238">
        <v>0</v>
      </c>
      <c r="T8" s="1239">
        <f t="shared" si="6"/>
        <v>0</v>
      </c>
      <c r="U8" s="1238">
        <v>0</v>
      </c>
      <c r="V8" s="1239">
        <f t="shared" si="7"/>
        <v>0</v>
      </c>
      <c r="W8" s="1236">
        <f t="shared" si="8"/>
        <v>669.96</v>
      </c>
      <c r="X8" s="1230"/>
      <c r="Y8" s="1231">
        <f t="shared" si="9"/>
        <v>175263.78333333335</v>
      </c>
      <c r="Z8" s="1237">
        <f>'Export Data'!G24</f>
        <v>1.0687801905282128</v>
      </c>
      <c r="AA8" s="1236">
        <f t="shared" si="10"/>
        <v>187318.45974369542</v>
      </c>
      <c r="AC8" s="1240"/>
    </row>
    <row r="9" spans="1:29">
      <c r="C9" s="1232" t="s">
        <v>132</v>
      </c>
      <c r="D9" s="1233">
        <v>0</v>
      </c>
      <c r="E9" s="1234">
        <v>2525800</v>
      </c>
      <c r="F9" s="1235">
        <f t="shared" si="0"/>
        <v>210483.33333333334</v>
      </c>
      <c r="G9" s="1234">
        <v>0</v>
      </c>
      <c r="H9" s="1224">
        <f t="shared" si="1"/>
        <v>0</v>
      </c>
      <c r="I9" s="1236">
        <f t="shared" si="2"/>
        <v>210483.33333333334</v>
      </c>
      <c r="J9" s="1226"/>
      <c r="K9" s="1237">
        <v>980.37</v>
      </c>
      <c r="L9" s="1238">
        <v>0</v>
      </c>
      <c r="M9" s="1239">
        <f t="shared" si="3"/>
        <v>0</v>
      </c>
      <c r="N9" s="1238"/>
      <c r="O9" s="1239">
        <f t="shared" si="4"/>
        <v>0</v>
      </c>
      <c r="P9" s="1236">
        <f t="shared" si="5"/>
        <v>980.37</v>
      </c>
      <c r="Q9" s="1226"/>
      <c r="R9" s="1237">
        <v>196.56</v>
      </c>
      <c r="S9" s="1238">
        <v>0</v>
      </c>
      <c r="T9" s="1239">
        <f t="shared" si="6"/>
        <v>0</v>
      </c>
      <c r="U9" s="1238">
        <v>0</v>
      </c>
      <c r="V9" s="1239">
        <f t="shared" si="7"/>
        <v>0</v>
      </c>
      <c r="W9" s="1236">
        <f t="shared" si="8"/>
        <v>196.56</v>
      </c>
      <c r="X9" s="1230"/>
      <c r="Y9" s="1231">
        <f t="shared" si="9"/>
        <v>211660.26333333334</v>
      </c>
      <c r="Z9" s="1237">
        <f>'Export Data'!H24</f>
        <v>1.2680028090019586</v>
      </c>
      <c r="AA9" s="1236">
        <f t="shared" si="10"/>
        <v>268385.80846076092</v>
      </c>
      <c r="AC9" s="879"/>
    </row>
    <row r="10" spans="1:29" ht="15.75" thickBot="1">
      <c r="C10" s="1232" t="s">
        <v>134</v>
      </c>
      <c r="D10" s="1241">
        <v>0</v>
      </c>
      <c r="E10" s="1242">
        <v>2300732</v>
      </c>
      <c r="F10" s="1243">
        <f t="shared" si="0"/>
        <v>191727.66666666666</v>
      </c>
      <c r="G10" s="1242">
        <v>0</v>
      </c>
      <c r="H10" s="1244">
        <f t="shared" si="1"/>
        <v>0</v>
      </c>
      <c r="I10" s="1245">
        <f t="shared" si="2"/>
        <v>191727.66666666666</v>
      </c>
      <c r="J10" s="1246"/>
      <c r="K10" s="1247">
        <v>1271.97</v>
      </c>
      <c r="L10" s="1248">
        <v>0</v>
      </c>
      <c r="M10" s="1249">
        <f t="shared" si="3"/>
        <v>0</v>
      </c>
      <c r="N10" s="1248">
        <v>0</v>
      </c>
      <c r="O10" s="1249">
        <f t="shared" si="4"/>
        <v>0</v>
      </c>
      <c r="P10" s="1245">
        <f t="shared" si="5"/>
        <v>1271.97</v>
      </c>
      <c r="Q10" s="1246"/>
      <c r="R10" s="1247">
        <v>1769.03</v>
      </c>
      <c r="S10" s="1248">
        <v>0</v>
      </c>
      <c r="T10" s="1249">
        <f t="shared" si="6"/>
        <v>0</v>
      </c>
      <c r="U10" s="1248">
        <v>0</v>
      </c>
      <c r="V10" s="1249">
        <f t="shared" si="7"/>
        <v>0</v>
      </c>
      <c r="W10" s="1245">
        <f t="shared" si="8"/>
        <v>1769.03</v>
      </c>
      <c r="X10" s="1250"/>
      <c r="Y10" s="1251">
        <f t="shared" si="9"/>
        <v>194768.66666666666</v>
      </c>
      <c r="Z10" s="1247">
        <f>'Export Data'!I24</f>
        <v>1.2789291612962386</v>
      </c>
      <c r="AA10" s="1245">
        <f t="shared" si="10"/>
        <v>249095.32750678665</v>
      </c>
      <c r="AC10" s="879"/>
    </row>
    <row r="11" spans="1:29">
      <c r="C11" s="1232" t="s">
        <v>136</v>
      </c>
      <c r="D11" s="1221">
        <v>0</v>
      </c>
      <c r="E11" s="1222">
        <v>2099792</v>
      </c>
      <c r="F11" s="1223">
        <f t="shared" si="0"/>
        <v>174982.66666666666</v>
      </c>
      <c r="G11" s="1222">
        <v>0</v>
      </c>
      <c r="H11" s="1224">
        <f t="shared" si="1"/>
        <v>0</v>
      </c>
      <c r="I11" s="1225">
        <f t="shared" si="2"/>
        <v>174982.66666666666</v>
      </c>
      <c r="J11" s="1226"/>
      <c r="K11" s="1227">
        <v>299.7</v>
      </c>
      <c r="L11" s="1228">
        <v>0</v>
      </c>
      <c r="M11" s="1229">
        <f t="shared" si="3"/>
        <v>0</v>
      </c>
      <c r="N11" s="1228">
        <v>0</v>
      </c>
      <c r="O11" s="1229">
        <f t="shared" si="4"/>
        <v>0</v>
      </c>
      <c r="P11" s="1225">
        <f t="shared" si="5"/>
        <v>299.7</v>
      </c>
      <c r="Q11" s="1226"/>
      <c r="R11" s="1227">
        <v>128.71</v>
      </c>
      <c r="S11" s="1228">
        <v>0</v>
      </c>
      <c r="T11" s="1229">
        <f t="shared" si="6"/>
        <v>0</v>
      </c>
      <c r="U11" s="1228">
        <v>0</v>
      </c>
      <c r="V11" s="1229">
        <f t="shared" si="7"/>
        <v>0</v>
      </c>
      <c r="W11" s="1225">
        <f t="shared" si="8"/>
        <v>128.71</v>
      </c>
      <c r="X11" s="1240"/>
      <c r="Y11" s="1231">
        <f t="shared" si="9"/>
        <v>175411.07666666666</v>
      </c>
      <c r="Z11" s="1227">
        <f>'Export Data'!J24</f>
        <v>1.3720810991178338</v>
      </c>
      <c r="AA11" s="1225">
        <f t="shared" si="10"/>
        <v>240678.22287024261</v>
      </c>
      <c r="AC11" s="879"/>
    </row>
    <row r="12" spans="1:29">
      <c r="C12" s="1232" t="s">
        <v>138</v>
      </c>
      <c r="D12" s="1221">
        <v>0</v>
      </c>
      <c r="E12" s="1234">
        <v>1908268</v>
      </c>
      <c r="F12" s="1235">
        <f t="shared" si="0"/>
        <v>159022.33333333334</v>
      </c>
      <c r="G12" s="1234">
        <v>0</v>
      </c>
      <c r="H12" s="1224">
        <f t="shared" si="1"/>
        <v>0</v>
      </c>
      <c r="I12" s="1236">
        <f t="shared" si="2"/>
        <v>159022.33333333334</v>
      </c>
      <c r="J12" s="1226"/>
      <c r="K12" s="1237">
        <v>381.54</v>
      </c>
      <c r="L12" s="1238">
        <v>0</v>
      </c>
      <c r="M12" s="1239">
        <f t="shared" si="3"/>
        <v>0</v>
      </c>
      <c r="N12" s="1238">
        <v>0</v>
      </c>
      <c r="O12" s="1239">
        <f t="shared" si="4"/>
        <v>0</v>
      </c>
      <c r="P12" s="1236">
        <f t="shared" si="5"/>
        <v>381.54</v>
      </c>
      <c r="Q12" s="1226"/>
      <c r="R12" s="1237">
        <v>933.05</v>
      </c>
      <c r="S12" s="1238">
        <v>0</v>
      </c>
      <c r="T12" s="1239">
        <f t="shared" si="6"/>
        <v>0</v>
      </c>
      <c r="U12" s="1238">
        <v>0</v>
      </c>
      <c r="V12" s="1239">
        <f t="shared" si="7"/>
        <v>0</v>
      </c>
      <c r="W12" s="1236">
        <f t="shared" si="8"/>
        <v>933.05</v>
      </c>
      <c r="X12" s="1240"/>
      <c r="Y12" s="1231">
        <f t="shared" si="9"/>
        <v>160336.92333333334</v>
      </c>
      <c r="Z12" s="1237">
        <f>'Export Data'!K24</f>
        <v>1.5108165567879497</v>
      </c>
      <c r="AA12" s="1236">
        <f t="shared" si="10"/>
        <v>242239.67843644015</v>
      </c>
      <c r="AC12" s="879"/>
    </row>
    <row r="13" spans="1:29">
      <c r="C13" s="1232" t="s">
        <v>139</v>
      </c>
      <c r="D13" s="1221">
        <v>0</v>
      </c>
      <c r="E13" s="1234">
        <v>1563712</v>
      </c>
      <c r="F13" s="1235">
        <f t="shared" si="0"/>
        <v>130309.33333333333</v>
      </c>
      <c r="G13" s="1234">
        <v>1920</v>
      </c>
      <c r="H13" s="1224">
        <f t="shared" si="1"/>
        <v>80</v>
      </c>
      <c r="I13" s="1236">
        <f t="shared" si="2"/>
        <v>130389.33333333333</v>
      </c>
      <c r="J13" s="1226"/>
      <c r="K13" s="1237">
        <v>538.64</v>
      </c>
      <c r="L13" s="1238">
        <v>0</v>
      </c>
      <c r="M13" s="1239">
        <f t="shared" si="3"/>
        <v>0</v>
      </c>
      <c r="N13" s="1238">
        <v>0</v>
      </c>
      <c r="O13" s="1239">
        <f t="shared" si="4"/>
        <v>0</v>
      </c>
      <c r="P13" s="1236">
        <f t="shared" si="5"/>
        <v>538.64</v>
      </c>
      <c r="Q13" s="1226"/>
      <c r="R13" s="1237">
        <v>146.76</v>
      </c>
      <c r="S13" s="1238">
        <v>0</v>
      </c>
      <c r="T13" s="1239">
        <f t="shared" si="6"/>
        <v>0</v>
      </c>
      <c r="U13" s="1238">
        <v>4.5910000000000002</v>
      </c>
      <c r="V13" s="1239">
        <f t="shared" si="7"/>
        <v>0.19129166666666667</v>
      </c>
      <c r="W13" s="1236">
        <f t="shared" si="8"/>
        <v>146.95129166666666</v>
      </c>
      <c r="X13" s="1240"/>
      <c r="Y13" s="1231">
        <f t="shared" si="9"/>
        <v>131074.92462499999</v>
      </c>
      <c r="Z13" s="1237">
        <f>'Export Data'!L24</f>
        <v>1.57935949423943</v>
      </c>
      <c r="AA13" s="1236">
        <f t="shared" si="10"/>
        <v>207014.42666321137</v>
      </c>
      <c r="AC13" s="879"/>
    </row>
    <row r="14" spans="1:29">
      <c r="C14" s="1232" t="s">
        <v>140</v>
      </c>
      <c r="D14" s="1252">
        <v>0</v>
      </c>
      <c r="E14" s="1234">
        <v>1887902</v>
      </c>
      <c r="F14" s="1235">
        <f t="shared" si="0"/>
        <v>157325.16666666666</v>
      </c>
      <c r="G14" s="1234">
        <v>1920</v>
      </c>
      <c r="H14" s="1224">
        <f t="shared" si="1"/>
        <v>80</v>
      </c>
      <c r="I14" s="1236">
        <f t="shared" si="2"/>
        <v>157405.16666666666</v>
      </c>
      <c r="J14" s="1226"/>
      <c r="K14" s="1237">
        <v>368.8</v>
      </c>
      <c r="L14" s="1238">
        <v>0</v>
      </c>
      <c r="M14" s="1239">
        <f t="shared" si="3"/>
        <v>0</v>
      </c>
      <c r="N14" s="1238">
        <v>0</v>
      </c>
      <c r="O14" s="1239">
        <f t="shared" si="4"/>
        <v>0</v>
      </c>
      <c r="P14" s="1236">
        <f t="shared" si="5"/>
        <v>368.8</v>
      </c>
      <c r="Q14" s="1226"/>
      <c r="R14" s="1237">
        <v>113.75</v>
      </c>
      <c r="S14" s="1238">
        <v>0</v>
      </c>
      <c r="T14" s="1239">
        <f t="shared" si="6"/>
        <v>0</v>
      </c>
      <c r="U14" s="1238">
        <v>20</v>
      </c>
      <c r="V14" s="1239">
        <f t="shared" si="7"/>
        <v>0.83333333333333337</v>
      </c>
      <c r="W14" s="1236">
        <f t="shared" si="8"/>
        <v>114.58333333333333</v>
      </c>
      <c r="X14" s="1240"/>
      <c r="Y14" s="1231">
        <f t="shared" si="9"/>
        <v>157888.54999999999</v>
      </c>
      <c r="Z14" s="1237">
        <f>'Export Data'!M24</f>
        <v>1.4225470866723049</v>
      </c>
      <c r="AA14" s="1236">
        <f t="shared" si="10"/>
        <v>224603.89682141453</v>
      </c>
    </row>
    <row r="15" spans="1:29">
      <c r="C15" s="1232" t="s">
        <v>142</v>
      </c>
      <c r="D15" s="1252">
        <v>0</v>
      </c>
      <c r="E15" s="1234">
        <v>2115408</v>
      </c>
      <c r="F15" s="1235">
        <f t="shared" si="0"/>
        <v>176284</v>
      </c>
      <c r="G15" s="1234">
        <v>0</v>
      </c>
      <c r="H15" s="1224">
        <f t="shared" si="1"/>
        <v>0</v>
      </c>
      <c r="I15" s="1236">
        <f t="shared" si="2"/>
        <v>176284</v>
      </c>
      <c r="J15" s="1226"/>
      <c r="K15" s="1237">
        <v>458.43</v>
      </c>
      <c r="L15" s="1238">
        <v>0</v>
      </c>
      <c r="M15" s="1239">
        <f t="shared" si="3"/>
        <v>0</v>
      </c>
      <c r="N15" s="1238">
        <v>0</v>
      </c>
      <c r="O15" s="1239">
        <f t="shared" si="4"/>
        <v>0</v>
      </c>
      <c r="P15" s="1236">
        <f t="shared" si="5"/>
        <v>458.43</v>
      </c>
      <c r="Q15" s="1226"/>
      <c r="R15" s="1237">
        <v>85.265000000000001</v>
      </c>
      <c r="S15" s="1238">
        <v>0</v>
      </c>
      <c r="T15" s="1239">
        <f t="shared" si="6"/>
        <v>0</v>
      </c>
      <c r="U15" s="1238">
        <v>0</v>
      </c>
      <c r="V15" s="1239">
        <f t="shared" si="7"/>
        <v>0</v>
      </c>
      <c r="W15" s="1236">
        <f t="shared" si="8"/>
        <v>85.265000000000001</v>
      </c>
      <c r="X15" s="1240"/>
      <c r="Y15" s="1231">
        <f t="shared" si="9"/>
        <v>176827.69500000001</v>
      </c>
      <c r="Z15" s="1237">
        <f>'Export Data'!N24</f>
        <v>1.1728665578696682</v>
      </c>
      <c r="AA15" s="1236">
        <f t="shared" si="10"/>
        <v>207395.28997067755</v>
      </c>
    </row>
    <row r="16" spans="1:29" ht="15.75" thickBot="1">
      <c r="C16" s="1253" t="s">
        <v>144</v>
      </c>
      <c r="D16" s="1254"/>
      <c r="E16" s="1752">
        <v>1862390</v>
      </c>
      <c r="F16" s="1243">
        <f t="shared" si="0"/>
        <v>155199.16666666666</v>
      </c>
      <c r="G16" s="1242">
        <v>6571</v>
      </c>
      <c r="H16" s="1244">
        <f t="shared" si="1"/>
        <v>273.79166666666669</v>
      </c>
      <c r="I16" s="1245">
        <f t="shared" si="2"/>
        <v>155472.95833333331</v>
      </c>
      <c r="J16" s="1226"/>
      <c r="K16" s="1247">
        <v>456.78</v>
      </c>
      <c r="L16" s="1248">
        <v>0</v>
      </c>
      <c r="M16" s="1249">
        <v>0</v>
      </c>
      <c r="N16" s="1248">
        <v>0</v>
      </c>
      <c r="O16" s="1249">
        <v>0</v>
      </c>
      <c r="P16" s="1245">
        <f t="shared" si="5"/>
        <v>456.78</v>
      </c>
      <c r="Q16" s="1226"/>
      <c r="R16" s="1247">
        <v>68.38</v>
      </c>
      <c r="S16" s="1248">
        <v>0</v>
      </c>
      <c r="T16" s="1249">
        <f t="shared" si="6"/>
        <v>0</v>
      </c>
      <c r="U16" s="1837">
        <v>4.3499999999999996</v>
      </c>
      <c r="V16" s="1249">
        <f t="shared" si="7"/>
        <v>0.18124999999999999</v>
      </c>
      <c r="W16" s="1245">
        <f t="shared" si="8"/>
        <v>68.561250000000001</v>
      </c>
      <c r="X16" s="1240"/>
      <c r="Y16" s="1231">
        <f t="shared" si="9"/>
        <v>155998.29958333331</v>
      </c>
      <c r="Z16" s="1247">
        <f>IFERROR('Export Data'!O24,0)</f>
        <v>1.3021613394216134</v>
      </c>
      <c r="AA16" s="1245">
        <f>Y16*Z16</f>
        <v>203134.95473292741</v>
      </c>
    </row>
    <row r="17" spans="1:29" ht="15.75" thickBot="1">
      <c r="C17" s="1255" t="s">
        <v>334</v>
      </c>
      <c r="D17" s="1240"/>
      <c r="E17" s="1240"/>
      <c r="F17" s="1240"/>
      <c r="G17" s="1240"/>
      <c r="H17" s="1240"/>
      <c r="I17" s="1256">
        <f>SUM(I5:I16)</f>
        <v>1997519.625</v>
      </c>
      <c r="J17" s="1240"/>
      <c r="K17" s="1240"/>
      <c r="L17" s="1240"/>
      <c r="M17" s="1240"/>
      <c r="N17" s="1240"/>
      <c r="O17" s="1240"/>
      <c r="P17" s="1256">
        <f>SUM(P5:P16)</f>
        <v>6432.3600000000006</v>
      </c>
      <c r="Q17" s="1240"/>
      <c r="R17" s="1240"/>
      <c r="S17" s="1240"/>
      <c r="T17" s="1240"/>
      <c r="U17" s="1240"/>
      <c r="V17" s="1240"/>
      <c r="W17" s="1256">
        <f>SUM(W5:W16)</f>
        <v>5601.5367083333331</v>
      </c>
      <c r="X17" s="1257" t="s">
        <v>1233</v>
      </c>
      <c r="Y17" s="1258">
        <f>AVERAGEIF(Y5:Y16, "&gt;0")</f>
        <v>167462.79347569446</v>
      </c>
      <c r="Z17" s="1259">
        <f>AVERAGEIF(Z5:Z16, "&gt;0")</f>
        <v>1.3060385033918855</v>
      </c>
      <c r="AA17" s="1260">
        <f>AVERAGEIF(AA5:AA16, "&gt;0")</f>
        <v>217359.62180466193</v>
      </c>
    </row>
    <row r="18" spans="1:29" ht="15.75" thickBot="1">
      <c r="D18" s="1240"/>
      <c r="E18" s="1240"/>
      <c r="F18" s="1240"/>
      <c r="G18" s="1240"/>
      <c r="H18" s="1240"/>
      <c r="I18" s="1240"/>
      <c r="J18" s="1240"/>
      <c r="K18" s="1240"/>
      <c r="L18" s="1240"/>
      <c r="M18" s="1240"/>
      <c r="N18" s="1240"/>
      <c r="O18" s="1240"/>
      <c r="P18" s="1240"/>
      <c r="Q18" s="1240"/>
      <c r="R18" s="1240"/>
      <c r="S18" s="1240"/>
      <c r="T18" s="1240"/>
      <c r="U18" s="1240"/>
      <c r="V18" s="1240"/>
      <c r="W18" s="1240"/>
      <c r="X18" s="1261" t="s">
        <v>334</v>
      </c>
      <c r="Y18" s="1262">
        <f>SUM(Y5:Y16)</f>
        <v>2009553.5217083334</v>
      </c>
      <c r="Z18" s="1263"/>
      <c r="AA18" s="1262">
        <f>SUM(AA5:AA16)</f>
        <v>2608315.4616559432</v>
      </c>
    </row>
    <row r="19" spans="1:29">
      <c r="I19" s="475"/>
    </row>
    <row r="20" spans="1:29" ht="21">
      <c r="A20" s="2063">
        <v>2024</v>
      </c>
      <c r="B20" s="2063"/>
      <c r="C20" s="2063"/>
      <c r="F20" s="502"/>
      <c r="G20" s="502"/>
      <c r="H20" s="502"/>
    </row>
    <row r="21" spans="1:29">
      <c r="F21" s="502"/>
      <c r="G21" s="502"/>
      <c r="H21" s="502"/>
    </row>
    <row r="22" spans="1:29">
      <c r="F22" s="502"/>
      <c r="G22" s="502"/>
      <c r="H22" s="502"/>
      <c r="S22" s="1264"/>
      <c r="T22" s="1264"/>
    </row>
    <row r="23" spans="1:29" ht="18.75">
      <c r="C23" s="2057" t="s">
        <v>1122</v>
      </c>
      <c r="D23" s="2057"/>
      <c r="E23" s="2057"/>
      <c r="F23" s="2057"/>
      <c r="G23" s="2057"/>
      <c r="H23" s="2057"/>
      <c r="I23" s="2057"/>
      <c r="J23" s="2057"/>
      <c r="K23" s="2057"/>
    </row>
    <row r="24" spans="1:29" ht="15.75" thickBot="1"/>
    <row r="25" spans="1:29" ht="15.75" thickBot="1">
      <c r="D25" s="2171" t="s">
        <v>1212</v>
      </c>
      <c r="E25" s="2172"/>
      <c r="F25" s="2172"/>
      <c r="G25" s="2172"/>
      <c r="H25" s="2172"/>
      <c r="I25" s="2173"/>
      <c r="K25" s="2171" t="s">
        <v>1213</v>
      </c>
      <c r="L25" s="2172"/>
      <c r="M25" s="2172"/>
      <c r="N25" s="2172"/>
      <c r="O25" s="2172"/>
      <c r="P25" s="2173"/>
      <c r="R25" s="2171" t="s">
        <v>1214</v>
      </c>
      <c r="S25" s="2172"/>
      <c r="T25" s="2172"/>
      <c r="U25" s="2172"/>
      <c r="V25" s="2172"/>
      <c r="W25" s="2173"/>
    </row>
    <row r="26" spans="1:29" ht="16.5" thickBot="1">
      <c r="A26" s="880" t="s">
        <v>338</v>
      </c>
      <c r="C26" s="1197" t="s">
        <v>121</v>
      </c>
      <c r="D26" s="1198" t="s">
        <v>1215</v>
      </c>
      <c r="E26" s="1199" t="s">
        <v>1216</v>
      </c>
      <c r="F26" s="1200" t="s">
        <v>1217</v>
      </c>
      <c r="G26" s="1201" t="s">
        <v>1218</v>
      </c>
      <c r="H26" s="1202" t="s">
        <v>1219</v>
      </c>
      <c r="I26" s="1203" t="s">
        <v>903</v>
      </c>
      <c r="J26" s="1204"/>
      <c r="K26" s="1205" t="s">
        <v>1220</v>
      </c>
      <c r="L26" s="1206" t="s">
        <v>1221</v>
      </c>
      <c r="M26" s="1207" t="s">
        <v>1222</v>
      </c>
      <c r="N26" s="1208" t="s">
        <v>1223</v>
      </c>
      <c r="O26" s="1209" t="s">
        <v>1224</v>
      </c>
      <c r="P26" s="1210" t="s">
        <v>903</v>
      </c>
      <c r="Q26" s="1204"/>
      <c r="R26" s="1211" t="s">
        <v>1225</v>
      </c>
      <c r="S26" s="1212" t="s">
        <v>1226</v>
      </c>
      <c r="T26" s="1213" t="s">
        <v>1227</v>
      </c>
      <c r="U26" s="1214" t="s">
        <v>1228</v>
      </c>
      <c r="V26" s="1215" t="s">
        <v>1229</v>
      </c>
      <c r="W26" s="1216" t="s">
        <v>903</v>
      </c>
      <c r="X26" s="1217"/>
      <c r="Y26" s="1218" t="s">
        <v>1230</v>
      </c>
      <c r="Z26" s="1219" t="s">
        <v>1231</v>
      </c>
      <c r="AA26" s="1210" t="s">
        <v>1232</v>
      </c>
    </row>
    <row r="27" spans="1:29">
      <c r="A27" t="s">
        <v>240</v>
      </c>
      <c r="C27" s="1220" t="s">
        <v>127</v>
      </c>
      <c r="D27" s="1221">
        <v>0</v>
      </c>
      <c r="E27" s="1222">
        <v>1992792</v>
      </c>
      <c r="F27" s="1223">
        <f>E27/12</f>
        <v>166066</v>
      </c>
      <c r="G27" s="1222">
        <v>80</v>
      </c>
      <c r="H27" s="1224">
        <f t="shared" ref="H27:H38" si="11">G27/24</f>
        <v>3.3333333333333335</v>
      </c>
      <c r="I27" s="1225">
        <f t="shared" ref="I27:I38" si="12">H27+F27+D27</f>
        <v>166069.33333333334</v>
      </c>
      <c r="J27" s="1226"/>
      <c r="K27" s="1227">
        <v>359.67</v>
      </c>
      <c r="L27" s="1228">
        <v>0</v>
      </c>
      <c r="M27" s="1229">
        <f t="shared" ref="M27:M38" si="13">L27/12</f>
        <v>0</v>
      </c>
      <c r="N27" s="1228">
        <v>0</v>
      </c>
      <c r="O27" s="1229">
        <f t="shared" ref="O27:O38" si="14">N27/24</f>
        <v>0</v>
      </c>
      <c r="P27" s="1225">
        <f t="shared" ref="P27:P38" si="15">O27+M27+K27</f>
        <v>359.67</v>
      </c>
      <c r="Q27" s="1226"/>
      <c r="R27" s="1227">
        <v>626.83000000000004</v>
      </c>
      <c r="S27" s="1228">
        <v>0</v>
      </c>
      <c r="T27" s="1229">
        <f t="shared" ref="T27:T38" si="16">S27/12</f>
        <v>0</v>
      </c>
      <c r="U27" s="1228">
        <v>0</v>
      </c>
      <c r="V27" s="1229">
        <f t="shared" ref="V27:V38" si="17">U27/24</f>
        <v>0</v>
      </c>
      <c r="W27" s="1225">
        <f t="shared" ref="W27:W38" si="18">V27+T27+R27</f>
        <v>626.83000000000004</v>
      </c>
      <c r="X27" s="1230"/>
      <c r="Y27" s="1231">
        <f t="shared" ref="Y27:Y38" si="19">W27+P27+I27</f>
        <v>167055.83333333334</v>
      </c>
      <c r="Z27" s="1227">
        <f>IFERROR('Export Data'!D49,"")</f>
        <v>1.2723361388229941</v>
      </c>
      <c r="AA27" s="1225">
        <f>Z27*Y27</f>
        <v>212551.17395119098</v>
      </c>
      <c r="AC27" s="879"/>
    </row>
    <row r="28" spans="1:29">
      <c r="C28" s="1232" t="s">
        <v>128</v>
      </c>
      <c r="D28" s="1233"/>
      <c r="E28" s="1234"/>
      <c r="F28" s="1235">
        <f t="shared" ref="F28:F38" si="20">E28/12</f>
        <v>0</v>
      </c>
      <c r="G28" s="1234"/>
      <c r="H28" s="1224">
        <f t="shared" si="11"/>
        <v>0</v>
      </c>
      <c r="I28" s="1236">
        <f t="shared" si="12"/>
        <v>0</v>
      </c>
      <c r="J28" s="1226"/>
      <c r="K28" s="1237"/>
      <c r="L28" s="1238"/>
      <c r="M28" s="1239">
        <f t="shared" si="13"/>
        <v>0</v>
      </c>
      <c r="N28" s="1238">
        <v>0</v>
      </c>
      <c r="O28" s="1239">
        <f t="shared" si="14"/>
        <v>0</v>
      </c>
      <c r="P28" s="1236">
        <f t="shared" si="15"/>
        <v>0</v>
      </c>
      <c r="Q28" s="1226"/>
      <c r="R28" s="1237"/>
      <c r="S28" s="1238"/>
      <c r="T28" s="1239">
        <f t="shared" si="16"/>
        <v>0</v>
      </c>
      <c r="U28" s="1238"/>
      <c r="V28" s="1239">
        <f t="shared" si="17"/>
        <v>0</v>
      </c>
      <c r="W28" s="1236">
        <f t="shared" si="18"/>
        <v>0</v>
      </c>
      <c r="X28" s="1230"/>
      <c r="Y28" s="1231">
        <f t="shared" si="19"/>
        <v>0</v>
      </c>
      <c r="Z28" s="1237" t="str">
        <f>IFERROR('Export Data'!E49,"")</f>
        <v/>
      </c>
      <c r="AA28" s="1236" t="e">
        <f>Z28*Y28</f>
        <v>#VALUE!</v>
      </c>
      <c r="AC28" s="879"/>
    </row>
    <row r="29" spans="1:29">
      <c r="C29" s="1232" t="s">
        <v>129</v>
      </c>
      <c r="D29" s="1233"/>
      <c r="E29" s="1234"/>
      <c r="F29" s="1235">
        <f t="shared" si="20"/>
        <v>0</v>
      </c>
      <c r="G29" s="1234"/>
      <c r="H29" s="1224">
        <f t="shared" si="11"/>
        <v>0</v>
      </c>
      <c r="I29" s="1236">
        <f t="shared" si="12"/>
        <v>0</v>
      </c>
      <c r="J29" s="1226"/>
      <c r="K29" s="1237"/>
      <c r="L29" s="1238"/>
      <c r="M29" s="1239">
        <f t="shared" si="13"/>
        <v>0</v>
      </c>
      <c r="N29" s="1238">
        <v>0</v>
      </c>
      <c r="O29" s="1239">
        <f t="shared" si="14"/>
        <v>0</v>
      </c>
      <c r="P29" s="1236">
        <f t="shared" si="15"/>
        <v>0</v>
      </c>
      <c r="Q29" s="1226"/>
      <c r="R29" s="1237"/>
      <c r="S29" s="1238"/>
      <c r="T29" s="1239">
        <f t="shared" si="16"/>
        <v>0</v>
      </c>
      <c r="U29" s="1238"/>
      <c r="V29" s="1239">
        <f t="shared" si="17"/>
        <v>0</v>
      </c>
      <c r="W29" s="1236">
        <f t="shared" si="18"/>
        <v>0</v>
      </c>
      <c r="X29" s="1230"/>
      <c r="Y29" s="1231">
        <f t="shared" si="19"/>
        <v>0</v>
      </c>
      <c r="Z29" s="1237" t="str">
        <f>IFERROR('Export Data'!F49,"")</f>
        <v/>
      </c>
      <c r="AA29" s="1236" t="e">
        <f t="shared" ref="AA29:AA37" si="21">Z29*Y29</f>
        <v>#VALUE!</v>
      </c>
      <c r="AC29" s="879"/>
    </row>
    <row r="30" spans="1:29">
      <c r="C30" s="1232" t="s">
        <v>130</v>
      </c>
      <c r="D30" s="1233"/>
      <c r="E30" s="1234"/>
      <c r="F30" s="1235">
        <f t="shared" si="20"/>
        <v>0</v>
      </c>
      <c r="G30" s="1234"/>
      <c r="H30" s="1224">
        <f t="shared" si="11"/>
        <v>0</v>
      </c>
      <c r="I30" s="1236">
        <f t="shared" si="12"/>
        <v>0</v>
      </c>
      <c r="J30" s="1226"/>
      <c r="K30" s="1237"/>
      <c r="L30" s="1238"/>
      <c r="M30" s="1239">
        <f t="shared" si="13"/>
        <v>0</v>
      </c>
      <c r="N30" s="1238"/>
      <c r="O30" s="1239">
        <f t="shared" si="14"/>
        <v>0</v>
      </c>
      <c r="P30" s="1236">
        <f t="shared" si="15"/>
        <v>0</v>
      </c>
      <c r="Q30" s="1226"/>
      <c r="R30" s="1237"/>
      <c r="S30" s="1238"/>
      <c r="T30" s="1239">
        <f t="shared" si="16"/>
        <v>0</v>
      </c>
      <c r="U30" s="1238"/>
      <c r="V30" s="1239">
        <f t="shared" si="17"/>
        <v>0</v>
      </c>
      <c r="W30" s="1236">
        <f t="shared" si="18"/>
        <v>0</v>
      </c>
      <c r="X30" s="1230"/>
      <c r="Y30" s="1231">
        <f t="shared" si="19"/>
        <v>0</v>
      </c>
      <c r="Z30" s="1237" t="str">
        <f>IFERROR('Export Data'!G49,"")</f>
        <v/>
      </c>
      <c r="AA30" s="1236" t="e">
        <f t="shared" si="21"/>
        <v>#VALUE!</v>
      </c>
      <c r="AC30" s="1240"/>
    </row>
    <row r="31" spans="1:29">
      <c r="C31" s="1232" t="s">
        <v>132</v>
      </c>
      <c r="D31" s="1233"/>
      <c r="E31" s="1234"/>
      <c r="F31" s="1235">
        <f t="shared" si="20"/>
        <v>0</v>
      </c>
      <c r="G31" s="1234"/>
      <c r="H31" s="1224">
        <f t="shared" si="11"/>
        <v>0</v>
      </c>
      <c r="I31" s="1236">
        <f t="shared" si="12"/>
        <v>0</v>
      </c>
      <c r="J31" s="1226"/>
      <c r="K31" s="1237"/>
      <c r="L31" s="1238"/>
      <c r="M31" s="1239">
        <f t="shared" si="13"/>
        <v>0</v>
      </c>
      <c r="N31" s="1238"/>
      <c r="O31" s="1239">
        <f t="shared" si="14"/>
        <v>0</v>
      </c>
      <c r="P31" s="1236">
        <f t="shared" si="15"/>
        <v>0</v>
      </c>
      <c r="Q31" s="1226"/>
      <c r="R31" s="1237"/>
      <c r="S31" s="1238"/>
      <c r="T31" s="1239">
        <f t="shared" si="16"/>
        <v>0</v>
      </c>
      <c r="U31" s="1238"/>
      <c r="V31" s="1239">
        <f t="shared" si="17"/>
        <v>0</v>
      </c>
      <c r="W31" s="1236">
        <f t="shared" si="18"/>
        <v>0</v>
      </c>
      <c r="X31" s="1230"/>
      <c r="Y31" s="1231">
        <f t="shared" si="19"/>
        <v>0</v>
      </c>
      <c r="Z31" s="1237" t="str">
        <f>IFERROR('Export Data'!H49,"")</f>
        <v/>
      </c>
      <c r="AA31" s="1236" t="e">
        <f t="shared" si="21"/>
        <v>#VALUE!</v>
      </c>
      <c r="AC31" s="879"/>
    </row>
    <row r="32" spans="1:29" ht="15.75" thickBot="1">
      <c r="C32" s="1232" t="s">
        <v>134</v>
      </c>
      <c r="D32" s="1241"/>
      <c r="E32" s="1242"/>
      <c r="F32" s="1243">
        <f t="shared" si="20"/>
        <v>0</v>
      </c>
      <c r="G32" s="1242"/>
      <c r="H32" s="1244">
        <f t="shared" si="11"/>
        <v>0</v>
      </c>
      <c r="I32" s="1245">
        <f t="shared" si="12"/>
        <v>0</v>
      </c>
      <c r="J32" s="1246"/>
      <c r="K32" s="1247"/>
      <c r="L32" s="1248"/>
      <c r="M32" s="1249">
        <f t="shared" si="13"/>
        <v>0</v>
      </c>
      <c r="N32" s="1248">
        <v>0</v>
      </c>
      <c r="O32" s="1249">
        <f t="shared" si="14"/>
        <v>0</v>
      </c>
      <c r="P32" s="1245">
        <f t="shared" si="15"/>
        <v>0</v>
      </c>
      <c r="Q32" s="1246"/>
      <c r="R32" s="1247"/>
      <c r="S32" s="1248"/>
      <c r="T32" s="1249">
        <f t="shared" si="16"/>
        <v>0</v>
      </c>
      <c r="U32" s="1248"/>
      <c r="V32" s="1249">
        <f t="shared" si="17"/>
        <v>0</v>
      </c>
      <c r="W32" s="1245">
        <f t="shared" si="18"/>
        <v>0</v>
      </c>
      <c r="X32" s="1250"/>
      <c r="Y32" s="1251">
        <f t="shared" si="19"/>
        <v>0</v>
      </c>
      <c r="Z32" s="1247" t="str">
        <f>IFERROR('Export Data'!I49,"")</f>
        <v/>
      </c>
      <c r="AA32" s="1245" t="e">
        <f t="shared" si="21"/>
        <v>#VALUE!</v>
      </c>
      <c r="AC32" s="879"/>
    </row>
    <row r="33" spans="3:29">
      <c r="C33" s="1232" t="s">
        <v>136</v>
      </c>
      <c r="D33" s="1221"/>
      <c r="E33" s="1222"/>
      <c r="F33" s="1223">
        <f t="shared" si="20"/>
        <v>0</v>
      </c>
      <c r="G33" s="1222"/>
      <c r="H33" s="1224">
        <f t="shared" si="11"/>
        <v>0</v>
      </c>
      <c r="I33" s="1225">
        <f t="shared" si="12"/>
        <v>0</v>
      </c>
      <c r="J33" s="1226"/>
      <c r="K33" s="1227"/>
      <c r="L33" s="1228"/>
      <c r="M33" s="1229">
        <f t="shared" si="13"/>
        <v>0</v>
      </c>
      <c r="N33" s="1228">
        <v>0</v>
      </c>
      <c r="O33" s="1229">
        <f t="shared" si="14"/>
        <v>0</v>
      </c>
      <c r="P33" s="1225">
        <f t="shared" si="15"/>
        <v>0</v>
      </c>
      <c r="Q33" s="1226"/>
      <c r="R33" s="1227"/>
      <c r="S33" s="1228"/>
      <c r="T33" s="1229">
        <f t="shared" si="16"/>
        <v>0</v>
      </c>
      <c r="U33" s="1228"/>
      <c r="V33" s="1229">
        <f t="shared" si="17"/>
        <v>0</v>
      </c>
      <c r="W33" s="1225">
        <f t="shared" si="18"/>
        <v>0</v>
      </c>
      <c r="X33" s="1240"/>
      <c r="Y33" s="1231">
        <f t="shared" si="19"/>
        <v>0</v>
      </c>
      <c r="Z33" s="1227" t="str">
        <f>IFERROR('Export Data'!J49,"")</f>
        <v/>
      </c>
      <c r="AA33" s="1225" t="e">
        <f t="shared" si="21"/>
        <v>#VALUE!</v>
      </c>
      <c r="AC33" s="879"/>
    </row>
    <row r="34" spans="3:29">
      <c r="C34" s="1232" t="s">
        <v>138</v>
      </c>
      <c r="D34" s="1221"/>
      <c r="E34" s="1234"/>
      <c r="F34" s="1235">
        <f t="shared" si="20"/>
        <v>0</v>
      </c>
      <c r="G34" s="1234"/>
      <c r="H34" s="1224">
        <f t="shared" si="11"/>
        <v>0</v>
      </c>
      <c r="I34" s="1236">
        <f t="shared" si="12"/>
        <v>0</v>
      </c>
      <c r="J34" s="1226"/>
      <c r="K34" s="1237"/>
      <c r="L34" s="1238"/>
      <c r="M34" s="1239">
        <f t="shared" si="13"/>
        <v>0</v>
      </c>
      <c r="N34" s="1238">
        <v>0</v>
      </c>
      <c r="O34" s="1239">
        <f t="shared" si="14"/>
        <v>0</v>
      </c>
      <c r="P34" s="1236">
        <f t="shared" si="15"/>
        <v>0</v>
      </c>
      <c r="Q34" s="1226"/>
      <c r="R34" s="1237"/>
      <c r="S34" s="1238"/>
      <c r="T34" s="1239">
        <f t="shared" si="16"/>
        <v>0</v>
      </c>
      <c r="U34" s="1238"/>
      <c r="V34" s="1239">
        <f t="shared" si="17"/>
        <v>0</v>
      </c>
      <c r="W34" s="1236">
        <f t="shared" si="18"/>
        <v>0</v>
      </c>
      <c r="X34" s="1240"/>
      <c r="Y34" s="1231">
        <f t="shared" si="19"/>
        <v>0</v>
      </c>
      <c r="Z34" s="1237" t="str">
        <f>IFERROR('Export Data'!K49,"")</f>
        <v/>
      </c>
      <c r="AA34" s="1236" t="e">
        <f t="shared" si="21"/>
        <v>#VALUE!</v>
      </c>
      <c r="AC34" s="879"/>
    </row>
    <row r="35" spans="3:29">
      <c r="C35" s="1232" t="s">
        <v>139</v>
      </c>
      <c r="D35" s="1221"/>
      <c r="E35" s="1234"/>
      <c r="F35" s="1235">
        <f t="shared" si="20"/>
        <v>0</v>
      </c>
      <c r="G35" s="1234"/>
      <c r="H35" s="1224">
        <f t="shared" si="11"/>
        <v>0</v>
      </c>
      <c r="I35" s="1236">
        <f t="shared" si="12"/>
        <v>0</v>
      </c>
      <c r="J35" s="1226"/>
      <c r="K35" s="1237"/>
      <c r="L35" s="1238"/>
      <c r="M35" s="1239">
        <f t="shared" si="13"/>
        <v>0</v>
      </c>
      <c r="N35" s="1238">
        <v>0</v>
      </c>
      <c r="O35" s="1239">
        <f t="shared" si="14"/>
        <v>0</v>
      </c>
      <c r="P35" s="1236">
        <f t="shared" si="15"/>
        <v>0</v>
      </c>
      <c r="Q35" s="1226"/>
      <c r="R35" s="1237"/>
      <c r="S35" s="1238"/>
      <c r="T35" s="1239">
        <f t="shared" si="16"/>
        <v>0</v>
      </c>
      <c r="U35" s="1238"/>
      <c r="V35" s="1239">
        <f t="shared" si="17"/>
        <v>0</v>
      </c>
      <c r="W35" s="1236">
        <f t="shared" si="18"/>
        <v>0</v>
      </c>
      <c r="X35" s="1240"/>
      <c r="Y35" s="1231">
        <f t="shared" si="19"/>
        <v>0</v>
      </c>
      <c r="Z35" s="1237" t="str">
        <f>IFERROR('Export Data'!L49,"")</f>
        <v/>
      </c>
      <c r="AA35" s="1236" t="e">
        <f t="shared" si="21"/>
        <v>#VALUE!</v>
      </c>
      <c r="AC35" s="879"/>
    </row>
    <row r="36" spans="3:29">
      <c r="C36" s="1232" t="s">
        <v>140</v>
      </c>
      <c r="D36" s="1252"/>
      <c r="E36" s="1234"/>
      <c r="F36" s="1235">
        <f t="shared" si="20"/>
        <v>0</v>
      </c>
      <c r="G36" s="1234"/>
      <c r="H36" s="1224">
        <f t="shared" si="11"/>
        <v>0</v>
      </c>
      <c r="I36" s="1236">
        <f t="shared" si="12"/>
        <v>0</v>
      </c>
      <c r="J36" s="1226"/>
      <c r="K36" s="1237"/>
      <c r="L36" s="1238"/>
      <c r="M36" s="1239">
        <f t="shared" si="13"/>
        <v>0</v>
      </c>
      <c r="N36" s="1238">
        <v>0</v>
      </c>
      <c r="O36" s="1239">
        <f t="shared" si="14"/>
        <v>0</v>
      </c>
      <c r="P36" s="1236">
        <f t="shared" si="15"/>
        <v>0</v>
      </c>
      <c r="Q36" s="1226"/>
      <c r="R36" s="1237"/>
      <c r="S36" s="1238"/>
      <c r="T36" s="1239">
        <f t="shared" si="16"/>
        <v>0</v>
      </c>
      <c r="U36" s="1238"/>
      <c r="V36" s="1239">
        <f t="shared" si="17"/>
        <v>0</v>
      </c>
      <c r="W36" s="1236">
        <f t="shared" si="18"/>
        <v>0</v>
      </c>
      <c r="X36" s="1240"/>
      <c r="Y36" s="1231">
        <f t="shared" si="19"/>
        <v>0</v>
      </c>
      <c r="Z36" s="1237" t="str">
        <f>IFERROR('Export Data'!M49,"")</f>
        <v/>
      </c>
      <c r="AA36" s="1236" t="e">
        <f t="shared" si="21"/>
        <v>#VALUE!</v>
      </c>
    </row>
    <row r="37" spans="3:29">
      <c r="C37" s="1232" t="s">
        <v>142</v>
      </c>
      <c r="D37" s="1252"/>
      <c r="E37" s="1234"/>
      <c r="F37" s="1235">
        <f t="shared" si="20"/>
        <v>0</v>
      </c>
      <c r="G37" s="1234"/>
      <c r="H37" s="1224">
        <f t="shared" si="11"/>
        <v>0</v>
      </c>
      <c r="I37" s="1236">
        <f t="shared" si="12"/>
        <v>0</v>
      </c>
      <c r="J37" s="1226"/>
      <c r="K37" s="1237"/>
      <c r="L37" s="1238"/>
      <c r="M37" s="1239">
        <f t="shared" si="13"/>
        <v>0</v>
      </c>
      <c r="N37" s="1238">
        <v>0</v>
      </c>
      <c r="O37" s="1239">
        <f t="shared" si="14"/>
        <v>0</v>
      </c>
      <c r="P37" s="1236">
        <f t="shared" si="15"/>
        <v>0</v>
      </c>
      <c r="Q37" s="1226"/>
      <c r="R37" s="1237"/>
      <c r="S37" s="1238"/>
      <c r="T37" s="1239">
        <f t="shared" si="16"/>
        <v>0</v>
      </c>
      <c r="U37" s="1238"/>
      <c r="V37" s="1239">
        <f t="shared" si="17"/>
        <v>0</v>
      </c>
      <c r="W37" s="1236">
        <f t="shared" si="18"/>
        <v>0</v>
      </c>
      <c r="X37" s="1240"/>
      <c r="Y37" s="1231">
        <f t="shared" si="19"/>
        <v>0</v>
      </c>
      <c r="Z37" s="1237" t="str">
        <f>IFERROR('Export Data'!N49,"")</f>
        <v/>
      </c>
      <c r="AA37" s="1236" t="e">
        <f t="shared" si="21"/>
        <v>#VALUE!</v>
      </c>
    </row>
    <row r="38" spans="3:29" ht="15.75" thickBot="1">
      <c r="C38" s="1253" t="s">
        <v>144</v>
      </c>
      <c r="D38" s="1254"/>
      <c r="E38" s="1242"/>
      <c r="F38" s="1243">
        <f t="shared" si="20"/>
        <v>0</v>
      </c>
      <c r="G38" s="1242"/>
      <c r="H38" s="1244">
        <f t="shared" si="11"/>
        <v>0</v>
      </c>
      <c r="I38" s="1245">
        <f t="shared" si="12"/>
        <v>0</v>
      </c>
      <c r="J38" s="1226"/>
      <c r="K38" s="1247"/>
      <c r="L38" s="1248"/>
      <c r="M38" s="1249">
        <f t="shared" si="13"/>
        <v>0</v>
      </c>
      <c r="N38" s="1248"/>
      <c r="O38" s="1249">
        <f t="shared" si="14"/>
        <v>0</v>
      </c>
      <c r="P38" s="1245">
        <f t="shared" si="15"/>
        <v>0</v>
      </c>
      <c r="Q38" s="1226"/>
      <c r="R38" s="1247"/>
      <c r="S38" s="1248"/>
      <c r="T38" s="1249">
        <f t="shared" si="16"/>
        <v>0</v>
      </c>
      <c r="U38" s="1248"/>
      <c r="V38" s="1249">
        <f t="shared" si="17"/>
        <v>0</v>
      </c>
      <c r="W38" s="1245">
        <f t="shared" si="18"/>
        <v>0</v>
      </c>
      <c r="X38" s="1240"/>
      <c r="Y38" s="1231">
        <f t="shared" si="19"/>
        <v>0</v>
      </c>
      <c r="Z38" s="1247" t="str">
        <f>IFERROR('Export Data'!O49,"")</f>
        <v/>
      </c>
      <c r="AA38" s="1245" t="e">
        <f>Y38*Z38</f>
        <v>#VALUE!</v>
      </c>
    </row>
    <row r="39" spans="3:29" ht="15.75" thickBot="1">
      <c r="C39" s="1255" t="s">
        <v>334</v>
      </c>
      <c r="D39" s="1240"/>
      <c r="E39" s="1240"/>
      <c r="F39" s="1240"/>
      <c r="G39" s="1240"/>
      <c r="H39" s="1240"/>
      <c r="I39" s="1256">
        <f>SUM(I27:I38)</f>
        <v>166069.33333333334</v>
      </c>
      <c r="J39" s="1240"/>
      <c r="K39" s="1240"/>
      <c r="L39" s="1240"/>
      <c r="M39" s="1240"/>
      <c r="N39" s="1240"/>
      <c r="O39" s="1240"/>
      <c r="P39" s="1256">
        <f>SUM(P27:P38)</f>
        <v>359.67</v>
      </c>
      <c r="Q39" s="1240"/>
      <c r="R39" s="1240"/>
      <c r="S39" s="1240"/>
      <c r="T39" s="1240"/>
      <c r="U39" s="1240"/>
      <c r="V39" s="1240"/>
      <c r="W39" s="1256">
        <f>SUM(W27:W38)</f>
        <v>626.83000000000004</v>
      </c>
      <c r="X39" s="1257" t="s">
        <v>1233</v>
      </c>
      <c r="Y39" s="1258">
        <f>AVERAGEIF(Y27:Y38, "&gt;0")</f>
        <v>167055.83333333334</v>
      </c>
      <c r="Z39" s="1259">
        <f>AVERAGEIF(Z27:Z38, "&gt;0")</f>
        <v>1.2723361388229941</v>
      </c>
      <c r="AA39" s="1260">
        <f>AVERAGEIF(AA27:AA38, "&gt;0")</f>
        <v>212551.17395119098</v>
      </c>
    </row>
    <row r="40" spans="3:29" ht="15.75" thickBot="1">
      <c r="D40" s="1240"/>
      <c r="E40" s="1240"/>
      <c r="F40" s="1240"/>
      <c r="G40" s="1240"/>
      <c r="H40" s="1240"/>
      <c r="I40" s="1240"/>
      <c r="J40" s="1240"/>
      <c r="K40" s="1240"/>
      <c r="L40" s="1240"/>
      <c r="M40" s="1240"/>
      <c r="N40" s="1240"/>
      <c r="O40" s="1240"/>
      <c r="P40" s="1240"/>
      <c r="Q40" s="1240"/>
      <c r="R40" s="1240"/>
      <c r="S40" s="1240"/>
      <c r="T40" s="1240"/>
      <c r="U40" s="1240"/>
      <c r="V40" s="1240"/>
      <c r="W40" s="1240"/>
      <c r="X40" s="1261" t="s">
        <v>334</v>
      </c>
      <c r="Y40" s="1262">
        <f>SUM(Y27:Y38)</f>
        <v>167055.83333333334</v>
      </c>
      <c r="Z40" s="1263"/>
      <c r="AA40" s="1262" t="e">
        <f>SUM(AA27:AA38)</f>
        <v>#VALUE!</v>
      </c>
    </row>
  </sheetData>
  <mergeCells count="9">
    <mergeCell ref="R25:W25"/>
    <mergeCell ref="D3:I3"/>
    <mergeCell ref="K3:P3"/>
    <mergeCell ref="R3:W3"/>
    <mergeCell ref="C1:K1"/>
    <mergeCell ref="A20:C20"/>
    <mergeCell ref="C23:K23"/>
    <mergeCell ref="D25:I25"/>
    <mergeCell ref="K25:P25"/>
  </mergeCells>
  <pageMargins left="0.7" right="0.7" top="0.75" bottom="0.75" header="0.3" footer="0.3"/>
  <pageSetup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5A888-4DEF-4379-BA8D-AFCC250A6DD2}">
  <dimension ref="A1:AB131"/>
  <sheetViews>
    <sheetView showGridLines="0" workbookViewId="0">
      <pane xSplit="3" topLeftCell="I1" activePane="topRight" state="frozen"/>
      <selection pane="topRight" activeCell="R44" sqref="R44"/>
    </sheetView>
  </sheetViews>
  <sheetFormatPr defaultRowHeight="15"/>
  <cols>
    <col min="1" max="1" width="13.7109375" bestFit="1" customWidth="1"/>
    <col min="2" max="2" width="2.28515625" customWidth="1"/>
    <col min="3" max="3" width="7.85546875" bestFit="1" customWidth="1"/>
    <col min="4" max="4" width="14.7109375" bestFit="1" customWidth="1"/>
    <col min="5" max="5" width="17.5703125" bestFit="1" customWidth="1"/>
    <col min="6" max="6" width="14.85546875" bestFit="1" customWidth="1"/>
    <col min="7" max="7" width="13.42578125" customWidth="1"/>
    <col min="8" max="10" width="10.85546875" customWidth="1"/>
    <col min="11" max="11" width="12.85546875" customWidth="1"/>
    <col min="12" max="12" width="16.5703125" customWidth="1"/>
    <col min="13" max="13" width="9.5703125" bestFit="1" customWidth="1"/>
    <col min="14" max="14" width="15.85546875" customWidth="1"/>
    <col min="15" max="15" width="15" customWidth="1"/>
    <col min="16" max="16" width="12.85546875" customWidth="1"/>
    <col min="17" max="17" width="13.28515625" customWidth="1"/>
    <col min="18" max="18" width="17.42578125" customWidth="1"/>
    <col min="20" max="20" width="13.42578125" customWidth="1"/>
    <col min="21" max="21" width="12.5703125" customWidth="1"/>
    <col min="22" max="22" width="12" bestFit="1" customWidth="1"/>
    <col min="23" max="23" width="10.7109375" bestFit="1" customWidth="1"/>
    <col min="24" max="24" width="13.7109375" bestFit="1" customWidth="1"/>
    <col min="25" max="25" width="10.7109375" bestFit="1" customWidth="1"/>
    <col min="26" max="26" width="10.5703125" bestFit="1" customWidth="1"/>
    <col min="27" max="27" width="37.85546875" customWidth="1"/>
    <col min="28" max="28" width="11.28515625" bestFit="1" customWidth="1"/>
  </cols>
  <sheetData>
    <row r="1" spans="1:28">
      <c r="C1" s="1374">
        <v>2023</v>
      </c>
    </row>
    <row r="2" spans="1:28" ht="15.75" thickBot="1"/>
    <row r="3" spans="1:28" ht="15.75" thickBot="1">
      <c r="C3" s="2050" t="s">
        <v>1234</v>
      </c>
      <c r="D3" s="2051"/>
      <c r="E3" s="2051"/>
      <c r="F3" s="2051"/>
      <c r="G3" s="2051"/>
      <c r="H3" s="2051"/>
      <c r="I3" s="2051"/>
      <c r="J3" s="2051"/>
      <c r="K3" s="2051"/>
      <c r="L3" s="2051"/>
      <c r="M3" s="2051"/>
      <c r="N3" s="2051"/>
      <c r="O3" s="2051"/>
      <c r="P3" s="2051"/>
      <c r="Q3" s="2051"/>
      <c r="R3" s="2051"/>
      <c r="S3" s="2051"/>
      <c r="T3" s="2051"/>
      <c r="U3" s="2051"/>
      <c r="V3" s="2051"/>
      <c r="W3" s="2052"/>
    </row>
    <row r="4" spans="1:28" ht="15.75" thickBot="1">
      <c r="C4" s="1003"/>
      <c r="D4" s="2189" t="s">
        <v>1235</v>
      </c>
      <c r="E4" s="2190"/>
      <c r="F4" s="2190"/>
      <c r="G4" s="2190"/>
      <c r="H4" s="2190"/>
      <c r="I4" s="2190"/>
      <c r="J4" s="2191"/>
      <c r="K4" s="2192" t="s">
        <v>1236</v>
      </c>
      <c r="L4" s="2193"/>
      <c r="M4" s="2193"/>
      <c r="N4" s="2193"/>
      <c r="O4" s="2193"/>
      <c r="P4" s="2193"/>
      <c r="Q4" s="2193"/>
      <c r="R4" s="2193"/>
      <c r="S4" s="2193"/>
      <c r="T4" s="2194"/>
      <c r="U4" s="2195" t="s">
        <v>1237</v>
      </c>
      <c r="V4" s="2196"/>
      <c r="W4" s="2197"/>
    </row>
    <row r="5" spans="1:28" ht="60.75" thickBot="1">
      <c r="A5" s="880" t="s">
        <v>338</v>
      </c>
      <c r="C5" s="1505" t="s">
        <v>121</v>
      </c>
      <c r="D5" s="1506" t="s">
        <v>1238</v>
      </c>
      <c r="E5" s="1507" t="s">
        <v>1239</v>
      </c>
      <c r="F5" s="1508" t="s">
        <v>1240</v>
      </c>
      <c r="G5" s="1509" t="s">
        <v>1241</v>
      </c>
      <c r="H5" s="1510" t="s">
        <v>1239</v>
      </c>
      <c r="I5" s="1511" t="s">
        <v>1242</v>
      </c>
      <c r="J5" s="1512" t="s">
        <v>1243</v>
      </c>
      <c r="K5" s="1513" t="s">
        <v>1244</v>
      </c>
      <c r="L5" s="1514" t="s">
        <v>1245</v>
      </c>
      <c r="M5" s="1515" t="s">
        <v>1246</v>
      </c>
      <c r="N5" s="1516" t="s">
        <v>1247</v>
      </c>
      <c r="O5" s="1517" t="s">
        <v>1246</v>
      </c>
      <c r="P5" s="1518" t="s">
        <v>1248</v>
      </c>
      <c r="Q5" s="1519" t="s">
        <v>1249</v>
      </c>
      <c r="R5" s="745" t="s">
        <v>1250</v>
      </c>
      <c r="S5" s="1520" t="s">
        <v>1251</v>
      </c>
      <c r="T5" s="604" t="s">
        <v>1252</v>
      </c>
      <c r="U5" s="1521" t="s">
        <v>1253</v>
      </c>
      <c r="V5" s="665" t="s">
        <v>1254</v>
      </c>
      <c r="W5" s="665" t="s">
        <v>295</v>
      </c>
      <c r="X5" s="665" t="s">
        <v>1255</v>
      </c>
      <c r="Y5" s="665" t="s">
        <v>1256</v>
      </c>
      <c r="Z5" s="1764" t="s">
        <v>1257</v>
      </c>
      <c r="AB5" s="665"/>
    </row>
    <row r="6" spans="1:28">
      <c r="A6" t="s">
        <v>1258</v>
      </c>
      <c r="C6" s="1522">
        <v>44927</v>
      </c>
      <c r="D6" s="1523"/>
      <c r="E6" s="1524">
        <v>0.89900000000000002</v>
      </c>
      <c r="F6" s="1525">
        <f>(D6*E6)/1000</f>
        <v>0</v>
      </c>
      <c r="G6" s="1526">
        <v>85000</v>
      </c>
      <c r="H6" s="1527">
        <v>0.05</v>
      </c>
      <c r="I6" s="1528">
        <f t="shared" ref="I6:I17" si="0">(G6*H6)/1000</f>
        <v>4.25</v>
      </c>
      <c r="J6" s="1529">
        <f t="shared" ref="J6:J17" si="1">(F6+I6)</f>
        <v>4.25</v>
      </c>
      <c r="K6" s="1530">
        <v>1369</v>
      </c>
      <c r="L6" s="1531">
        <v>900</v>
      </c>
      <c r="M6" s="1532">
        <f>L6/148</f>
        <v>6.0810810810810807</v>
      </c>
      <c r="N6" s="1531">
        <v>12145</v>
      </c>
      <c r="O6" s="1532">
        <f>(N6*6.053)/1000</f>
        <v>73.513684999999995</v>
      </c>
      <c r="P6" s="1533"/>
      <c r="Q6" s="1534">
        <f t="shared" ref="Q6:Q17" si="2">P6*10</f>
        <v>0</v>
      </c>
      <c r="R6" s="1535">
        <f>Q6+M6+K6+O6</f>
        <v>1448.5947660810809</v>
      </c>
      <c r="S6" s="1536"/>
      <c r="T6" s="1537">
        <f>S6+R6</f>
        <v>1448.5947660810809</v>
      </c>
      <c r="U6" s="1537">
        <f t="shared" ref="U6:U17" si="3">T6+J6</f>
        <v>1452.8447660810809</v>
      </c>
      <c r="V6" s="475">
        <f>U6*1000</f>
        <v>1452844.766081081</v>
      </c>
      <c r="W6" s="475">
        <f>'Production-Ciospi'!Y5</f>
        <v>157258.49583333332</v>
      </c>
      <c r="X6" s="1102">
        <f>V6/W6</f>
        <v>9.2385772761100551</v>
      </c>
      <c r="Y6" s="592">
        <f>V6/1000</f>
        <v>1452.8447660810809</v>
      </c>
      <c r="Z6" s="665" t="s">
        <v>1259</v>
      </c>
      <c r="AA6" s="592"/>
    </row>
    <row r="7" spans="1:28">
      <c r="C7" s="1538">
        <v>44958</v>
      </c>
      <c r="D7" s="1539"/>
      <c r="E7" s="1540">
        <v>1.0920000000000001</v>
      </c>
      <c r="F7" s="1541">
        <f t="shared" ref="F7:F17" si="4">(D7*E7)/1000</f>
        <v>0</v>
      </c>
      <c r="G7" s="1542">
        <v>25000</v>
      </c>
      <c r="H7" s="1543">
        <v>0.05</v>
      </c>
      <c r="I7" s="1239">
        <f t="shared" si="0"/>
        <v>1.25</v>
      </c>
      <c r="J7" s="1544">
        <f t="shared" si="1"/>
        <v>1.25</v>
      </c>
      <c r="K7" s="1545">
        <v>897.82</v>
      </c>
      <c r="L7" s="1546"/>
      <c r="M7" s="1547">
        <f t="shared" ref="M7:M17" si="5">L7/148</f>
        <v>0</v>
      </c>
      <c r="N7" s="1546">
        <v>3836</v>
      </c>
      <c r="O7" s="1532">
        <f t="shared" ref="O7:O17" si="6">(N7*6.053)/1000</f>
        <v>23.219308000000002</v>
      </c>
      <c r="P7" s="1548">
        <v>1.2</v>
      </c>
      <c r="Q7" s="1304">
        <f t="shared" si="2"/>
        <v>12</v>
      </c>
      <c r="R7" s="1549">
        <f t="shared" ref="R7:R17" si="7">Q7+M7+K7+O7</f>
        <v>933.03930800000001</v>
      </c>
      <c r="S7" s="1550"/>
      <c r="T7" s="1551">
        <f t="shared" ref="T7:T17" si="8">S7+R7</f>
        <v>933.03930800000001</v>
      </c>
      <c r="U7" s="1551">
        <f t="shared" si="3"/>
        <v>934.28930800000001</v>
      </c>
      <c r="V7" s="475">
        <f t="shared" ref="V7:V17" si="9">U7*1000</f>
        <v>934289.30799999996</v>
      </c>
      <c r="W7" s="475">
        <f>'Production-Ciospi'!Y6</f>
        <v>162692.98000000001</v>
      </c>
      <c r="X7" s="1102">
        <f t="shared" ref="X7:X17" si="10">V7/W7</f>
        <v>5.7426528667678216</v>
      </c>
      <c r="Y7" s="592">
        <f t="shared" ref="Y7:Y17" si="11">V7/1000</f>
        <v>934.28930800000001</v>
      </c>
      <c r="Z7" s="665" t="s">
        <v>1259</v>
      </c>
    </row>
    <row r="8" spans="1:28">
      <c r="C8" s="1538">
        <v>44986</v>
      </c>
      <c r="D8" s="1539">
        <v>154441</v>
      </c>
      <c r="E8" s="1540">
        <v>1.0920000000000001</v>
      </c>
      <c r="F8" s="1541">
        <f t="shared" si="4"/>
        <v>168.64957200000001</v>
      </c>
      <c r="G8" s="1542">
        <v>263055</v>
      </c>
      <c r="H8" s="1543">
        <v>0.05</v>
      </c>
      <c r="I8" s="1239">
        <f t="shared" si="0"/>
        <v>13.152749999999999</v>
      </c>
      <c r="J8" s="1544">
        <f t="shared" si="1"/>
        <v>181.802322</v>
      </c>
      <c r="K8" s="1552">
        <v>1173.8</v>
      </c>
      <c r="L8" s="1546"/>
      <c r="M8" s="1547">
        <f t="shared" si="5"/>
        <v>0</v>
      </c>
      <c r="N8" s="1546">
        <v>4722</v>
      </c>
      <c r="O8" s="1532">
        <f t="shared" si="6"/>
        <v>28.582266000000001</v>
      </c>
      <c r="P8" s="1548">
        <v>2.42</v>
      </c>
      <c r="Q8" s="1304">
        <f t="shared" si="2"/>
        <v>24.2</v>
      </c>
      <c r="R8" s="1549">
        <f t="shared" si="7"/>
        <v>1226.5822659999999</v>
      </c>
      <c r="S8" s="1550"/>
      <c r="T8" s="1551">
        <f t="shared" si="8"/>
        <v>1226.5822659999999</v>
      </c>
      <c r="U8" s="1551">
        <f t="shared" si="3"/>
        <v>1408.3845879999999</v>
      </c>
      <c r="V8" s="475">
        <f t="shared" si="9"/>
        <v>1408384.588</v>
      </c>
      <c r="W8" s="475">
        <f>'Production-Ciospi'!Y7</f>
        <v>150371.86333333334</v>
      </c>
      <c r="X8" s="1102">
        <f t="shared" si="10"/>
        <v>9.3660114118423614</v>
      </c>
      <c r="Y8" s="592">
        <f t="shared" si="11"/>
        <v>1408.3845879999999</v>
      </c>
      <c r="Z8" s="665" t="s">
        <v>1259</v>
      </c>
    </row>
    <row r="9" spans="1:28">
      <c r="A9" s="1008" t="s">
        <v>1260</v>
      </c>
      <c r="C9" s="1538">
        <v>45017</v>
      </c>
      <c r="D9" s="1539"/>
      <c r="E9" s="1540">
        <v>1.0920000000000001</v>
      </c>
      <c r="F9" s="1541">
        <f t="shared" si="4"/>
        <v>0</v>
      </c>
      <c r="G9" s="1823">
        <v>78546</v>
      </c>
      <c r="H9" s="1543">
        <v>0.05</v>
      </c>
      <c r="I9" s="1239">
        <f t="shared" si="0"/>
        <v>3.9273000000000002</v>
      </c>
      <c r="J9" s="1544">
        <f t="shared" si="1"/>
        <v>3.9273000000000002</v>
      </c>
      <c r="K9" s="1552">
        <v>1092</v>
      </c>
      <c r="L9" s="1546">
        <v>500</v>
      </c>
      <c r="M9" s="1547">
        <f t="shared" si="5"/>
        <v>3.3783783783783785</v>
      </c>
      <c r="N9" s="1546">
        <v>2000</v>
      </c>
      <c r="O9" s="1532">
        <f t="shared" si="6"/>
        <v>12.106</v>
      </c>
      <c r="P9" s="1548">
        <v>3.64</v>
      </c>
      <c r="Q9" s="1304">
        <f t="shared" si="2"/>
        <v>36.4</v>
      </c>
      <c r="R9" s="1549">
        <f t="shared" si="7"/>
        <v>1143.8843783783784</v>
      </c>
      <c r="S9" s="1550"/>
      <c r="T9" s="1551">
        <f t="shared" si="8"/>
        <v>1143.8843783783784</v>
      </c>
      <c r="U9" s="1551">
        <f t="shared" si="3"/>
        <v>1147.8116783783785</v>
      </c>
      <c r="V9" s="475">
        <f t="shared" si="9"/>
        <v>1147811.6783783785</v>
      </c>
      <c r="W9" s="475">
        <f>'Production-Ciospi'!Y8</f>
        <v>175263.78333333335</v>
      </c>
      <c r="X9" s="1102">
        <f t="shared" si="10"/>
        <v>6.5490522716570654</v>
      </c>
      <c r="Y9" s="592">
        <f t="shared" si="11"/>
        <v>1147.8116783783785</v>
      </c>
      <c r="Z9" s="665" t="s">
        <v>1259</v>
      </c>
    </row>
    <row r="10" spans="1:28">
      <c r="C10" s="1538">
        <v>45047</v>
      </c>
      <c r="D10" s="1539">
        <v>3055</v>
      </c>
      <c r="E10" s="1540">
        <v>1.0920000000000001</v>
      </c>
      <c r="F10" s="1541">
        <f t="shared" si="4"/>
        <v>3.3360600000000002</v>
      </c>
      <c r="G10" s="1542">
        <v>123798</v>
      </c>
      <c r="H10" s="1543">
        <v>0.05</v>
      </c>
      <c r="I10" s="1239">
        <f t="shared" si="0"/>
        <v>6.1899000000000006</v>
      </c>
      <c r="J10" s="1544">
        <f t="shared" si="1"/>
        <v>9.5259600000000013</v>
      </c>
      <c r="K10" s="1552">
        <v>1683.7</v>
      </c>
      <c r="L10" s="1546"/>
      <c r="M10" s="1547">
        <f t="shared" si="5"/>
        <v>0</v>
      </c>
      <c r="N10" s="1546"/>
      <c r="O10" s="1532">
        <f t="shared" si="6"/>
        <v>0</v>
      </c>
      <c r="P10" s="1548"/>
      <c r="Q10" s="1304">
        <f t="shared" si="2"/>
        <v>0</v>
      </c>
      <c r="R10" s="1549">
        <f t="shared" si="7"/>
        <v>1683.7</v>
      </c>
      <c r="S10" s="1550"/>
      <c r="T10" s="1551">
        <f t="shared" si="8"/>
        <v>1683.7</v>
      </c>
      <c r="U10" s="1551">
        <f t="shared" si="3"/>
        <v>1693.22596</v>
      </c>
      <c r="V10" s="475">
        <f t="shared" si="9"/>
        <v>1693225.96</v>
      </c>
      <c r="W10" s="475">
        <f>'Production-Ciospi'!Y9</f>
        <v>211660.26333333334</v>
      </c>
      <c r="X10" s="1102">
        <f t="shared" si="10"/>
        <v>7.9997347321326044</v>
      </c>
      <c r="Y10" s="592">
        <f t="shared" si="11"/>
        <v>1693.22596</v>
      </c>
      <c r="Z10" s="665" t="s">
        <v>1259</v>
      </c>
    </row>
    <row r="11" spans="1:28" ht="15.75" thickBot="1">
      <c r="C11" s="1538">
        <v>45078</v>
      </c>
      <c r="D11" s="1553">
        <v>3055</v>
      </c>
      <c r="E11" s="1554">
        <v>1.0920000000000001</v>
      </c>
      <c r="F11" s="1555">
        <f t="shared" si="4"/>
        <v>3.3360600000000002</v>
      </c>
      <c r="G11" s="1556">
        <v>259601</v>
      </c>
      <c r="H11" s="1557">
        <v>0.05</v>
      </c>
      <c r="I11" s="1558">
        <f t="shared" si="0"/>
        <v>12.98005</v>
      </c>
      <c r="J11" s="1559">
        <f t="shared" si="1"/>
        <v>16.316110000000002</v>
      </c>
      <c r="K11" s="1560">
        <v>1557.6</v>
      </c>
      <c r="L11" s="1561"/>
      <c r="M11" s="1562">
        <f t="shared" si="5"/>
        <v>0</v>
      </c>
      <c r="N11" s="1561">
        <v>32918</v>
      </c>
      <c r="O11" s="1562">
        <f t="shared" si="6"/>
        <v>199.25265400000001</v>
      </c>
      <c r="P11" s="1563"/>
      <c r="Q11" s="1308">
        <f t="shared" si="2"/>
        <v>0</v>
      </c>
      <c r="R11" s="1564">
        <f t="shared" si="7"/>
        <v>1756.8526539999998</v>
      </c>
      <c r="S11" s="1565"/>
      <c r="T11" s="1566">
        <f t="shared" si="8"/>
        <v>1756.8526539999998</v>
      </c>
      <c r="U11" s="1566">
        <f t="shared" si="3"/>
        <v>1773.1687639999998</v>
      </c>
      <c r="V11" s="475">
        <f t="shared" si="9"/>
        <v>1773168.7639999997</v>
      </c>
      <c r="W11" s="475">
        <f>'Production-Ciospi'!Y10</f>
        <v>194768.66666666666</v>
      </c>
      <c r="X11" s="1102">
        <f t="shared" si="10"/>
        <v>9.1039734180378087</v>
      </c>
      <c r="Y11" s="592">
        <f t="shared" si="11"/>
        <v>1773.1687639999998</v>
      </c>
      <c r="Z11" s="665" t="s">
        <v>1259</v>
      </c>
    </row>
    <row r="12" spans="1:28">
      <c r="C12" s="1538">
        <v>45108</v>
      </c>
      <c r="D12" s="1523">
        <v>9215</v>
      </c>
      <c r="E12" s="1524">
        <v>1.0920000000000001</v>
      </c>
      <c r="F12" s="1567">
        <f t="shared" si="4"/>
        <v>10.06278</v>
      </c>
      <c r="G12" s="1526">
        <v>86263</v>
      </c>
      <c r="H12" s="1527">
        <v>0.05</v>
      </c>
      <c r="I12" s="1568">
        <f t="shared" si="0"/>
        <v>4.3131500000000003</v>
      </c>
      <c r="J12" s="1569">
        <f t="shared" si="1"/>
        <v>14.37593</v>
      </c>
      <c r="K12" s="1530">
        <v>1619</v>
      </c>
      <c r="L12" s="1531"/>
      <c r="M12" s="1532">
        <f>L12/148</f>
        <v>0</v>
      </c>
      <c r="N12" s="1531">
        <v>5357</v>
      </c>
      <c r="O12" s="1532">
        <f>(N12*6.053)/1000</f>
        <v>32.425920999999995</v>
      </c>
      <c r="P12" s="1533"/>
      <c r="Q12" s="1534">
        <f t="shared" si="2"/>
        <v>0</v>
      </c>
      <c r="R12" s="1570">
        <f t="shared" si="7"/>
        <v>1651.425921</v>
      </c>
      <c r="S12" s="1571"/>
      <c r="T12" s="1572">
        <f t="shared" si="8"/>
        <v>1651.425921</v>
      </c>
      <c r="U12" s="1572">
        <f t="shared" si="3"/>
        <v>1665.8018509999999</v>
      </c>
      <c r="V12" s="475">
        <f t="shared" si="9"/>
        <v>1665801.851</v>
      </c>
      <c r="W12" s="475">
        <f>'Production-Ciospi'!Y11</f>
        <v>175411.07666666666</v>
      </c>
      <c r="X12" s="1102">
        <f t="shared" si="10"/>
        <v>9.4965602096241621</v>
      </c>
      <c r="Y12" s="592">
        <f t="shared" si="11"/>
        <v>1665.8018509999999</v>
      </c>
      <c r="Z12" s="665" t="s">
        <v>1259</v>
      </c>
    </row>
    <row r="13" spans="1:28">
      <c r="C13" s="1538">
        <v>45139</v>
      </c>
      <c r="D13" s="1539">
        <v>7000</v>
      </c>
      <c r="E13" s="1540">
        <v>1.0920000000000001</v>
      </c>
      <c r="F13" s="1573">
        <f t="shared" si="4"/>
        <v>7.644000000000001</v>
      </c>
      <c r="G13" s="1542">
        <v>90000</v>
      </c>
      <c r="H13" s="1543">
        <v>0.05</v>
      </c>
      <c r="I13" s="1574">
        <f t="shared" si="0"/>
        <v>4.5</v>
      </c>
      <c r="J13" s="1575">
        <f t="shared" si="1"/>
        <v>12.144000000000002</v>
      </c>
      <c r="K13" s="1552">
        <v>1991.8</v>
      </c>
      <c r="L13" s="1546">
        <v>500</v>
      </c>
      <c r="M13" s="1547">
        <f t="shared" si="5"/>
        <v>3.3783783783783785</v>
      </c>
      <c r="N13" s="1576"/>
      <c r="O13" s="1532">
        <f t="shared" si="6"/>
        <v>0</v>
      </c>
      <c r="P13" s="1548"/>
      <c r="Q13" s="1304">
        <f t="shared" si="2"/>
        <v>0</v>
      </c>
      <c r="R13" s="1549">
        <f t="shared" si="7"/>
        <v>1995.1783783783783</v>
      </c>
      <c r="S13" s="1550"/>
      <c r="T13" s="1551">
        <f t="shared" si="8"/>
        <v>1995.1783783783783</v>
      </c>
      <c r="U13" s="1551">
        <f t="shared" si="3"/>
        <v>2007.3223783783783</v>
      </c>
      <c r="V13" s="475">
        <f t="shared" si="9"/>
        <v>2007322.3783783782</v>
      </c>
      <c r="W13" s="475">
        <f>'Production-Ciospi'!Y12</f>
        <v>160336.92333333334</v>
      </c>
      <c r="X13" s="1102">
        <f t="shared" si="10"/>
        <v>12.519401873548766</v>
      </c>
      <c r="Y13" s="592">
        <f t="shared" si="11"/>
        <v>2007.3223783783783</v>
      </c>
      <c r="Z13" s="665" t="s">
        <v>1259</v>
      </c>
    </row>
    <row r="14" spans="1:28">
      <c r="C14" s="1538">
        <v>45170</v>
      </c>
      <c r="D14" s="1539">
        <v>48027</v>
      </c>
      <c r="E14" s="1540">
        <v>1.0920000000000001</v>
      </c>
      <c r="F14" s="1573">
        <f t="shared" si="4"/>
        <v>52.445484000000008</v>
      </c>
      <c r="G14" s="1552">
        <v>123737</v>
      </c>
      <c r="H14" s="1543">
        <v>0.05</v>
      </c>
      <c r="I14" s="1574">
        <f t="shared" si="0"/>
        <v>6.1868500000000006</v>
      </c>
      <c r="J14" s="1575">
        <f t="shared" si="1"/>
        <v>58.632334000000007</v>
      </c>
      <c r="K14" s="1552">
        <v>1184</v>
      </c>
      <c r="L14" s="1546"/>
      <c r="M14" s="1547">
        <f t="shared" si="5"/>
        <v>0</v>
      </c>
      <c r="N14" s="1576">
        <v>40045</v>
      </c>
      <c r="O14" s="1532">
        <f t="shared" si="6"/>
        <v>242.39238500000002</v>
      </c>
      <c r="P14" s="1548">
        <v>1.728</v>
      </c>
      <c r="Q14" s="1304">
        <f t="shared" si="2"/>
        <v>17.28</v>
      </c>
      <c r="R14" s="1549">
        <f t="shared" si="7"/>
        <v>1443.6723850000001</v>
      </c>
      <c r="S14" s="1550"/>
      <c r="T14" s="1551">
        <f t="shared" si="8"/>
        <v>1443.6723850000001</v>
      </c>
      <c r="U14" s="1551">
        <f t="shared" si="3"/>
        <v>1502.304719</v>
      </c>
      <c r="V14" s="475">
        <f t="shared" si="9"/>
        <v>1502304.719</v>
      </c>
      <c r="W14" s="475">
        <f>'Production-Ciospi'!Y13</f>
        <v>131074.92462499999</v>
      </c>
      <c r="X14" s="1102">
        <f t="shared" si="10"/>
        <v>11.461419667400401</v>
      </c>
      <c r="Y14" s="592">
        <f t="shared" si="11"/>
        <v>1502.304719</v>
      </c>
      <c r="Z14" s="665" t="s">
        <v>1259</v>
      </c>
    </row>
    <row r="15" spans="1:28">
      <c r="C15" s="1538">
        <v>45200</v>
      </c>
      <c r="D15" s="1539">
        <v>20</v>
      </c>
      <c r="E15" s="1540">
        <v>1.0920000000000001</v>
      </c>
      <c r="F15" s="1573">
        <f t="shared" si="4"/>
        <v>2.1840000000000002E-2</v>
      </c>
      <c r="G15" s="1552">
        <v>114048</v>
      </c>
      <c r="H15" s="1543">
        <v>0.05</v>
      </c>
      <c r="I15" s="1574">
        <f t="shared" si="0"/>
        <v>5.7024000000000008</v>
      </c>
      <c r="J15" s="1575">
        <f t="shared" si="1"/>
        <v>5.7242400000000009</v>
      </c>
      <c r="K15" s="1552">
        <v>1410.7</v>
      </c>
      <c r="L15" s="1546">
        <v>1200</v>
      </c>
      <c r="M15" s="1547">
        <f t="shared" si="5"/>
        <v>8.1081081081081088</v>
      </c>
      <c r="N15" s="1576"/>
      <c r="O15" s="1532">
        <f t="shared" si="6"/>
        <v>0</v>
      </c>
      <c r="P15" s="1548">
        <v>1.788</v>
      </c>
      <c r="Q15" s="1304">
        <f t="shared" si="2"/>
        <v>17.88</v>
      </c>
      <c r="R15" s="1549">
        <f t="shared" si="7"/>
        <v>1436.6881081081081</v>
      </c>
      <c r="S15" s="1550"/>
      <c r="T15" s="1551">
        <f t="shared" si="8"/>
        <v>1436.6881081081081</v>
      </c>
      <c r="U15" s="1551">
        <f t="shared" si="3"/>
        <v>1442.4123481081081</v>
      </c>
      <c r="V15" s="475">
        <f t="shared" si="9"/>
        <v>1442412.3481081082</v>
      </c>
      <c r="W15" s="475">
        <f>'Production-Ciospi'!Y14</f>
        <v>157888.54999999999</v>
      </c>
      <c r="X15" s="1102">
        <f t="shared" si="10"/>
        <v>9.1356361693619217</v>
      </c>
      <c r="Y15" s="592">
        <f t="shared" si="11"/>
        <v>1442.4123481081081</v>
      </c>
      <c r="Z15" s="665" t="s">
        <v>1259</v>
      </c>
    </row>
    <row r="16" spans="1:28">
      <c r="C16" s="1538">
        <v>45231</v>
      </c>
      <c r="D16" s="1539">
        <v>31128</v>
      </c>
      <c r="E16" s="1540">
        <v>1.0920000000000001</v>
      </c>
      <c r="F16" s="1573">
        <f t="shared" si="4"/>
        <v>33.991776000000009</v>
      </c>
      <c r="G16" s="1552">
        <v>153364</v>
      </c>
      <c r="H16" s="1543">
        <v>0.05</v>
      </c>
      <c r="I16" s="1574">
        <f t="shared" si="0"/>
        <v>7.6682000000000006</v>
      </c>
      <c r="J16" s="1575">
        <f t="shared" si="1"/>
        <v>41.659976000000007</v>
      </c>
      <c r="K16" s="1552">
        <v>1670</v>
      </c>
      <c r="L16" s="1546"/>
      <c r="M16" s="1547">
        <f t="shared" si="5"/>
        <v>0</v>
      </c>
      <c r="N16" s="1576">
        <v>4606</v>
      </c>
      <c r="O16" s="1532">
        <f t="shared" si="6"/>
        <v>27.880118</v>
      </c>
      <c r="P16" s="1548">
        <v>0.20599999999999999</v>
      </c>
      <c r="Q16" s="1304">
        <f t="shared" si="2"/>
        <v>2.06</v>
      </c>
      <c r="R16" s="1549">
        <f t="shared" si="7"/>
        <v>1699.940118</v>
      </c>
      <c r="S16" s="1550"/>
      <c r="T16" s="1551">
        <f t="shared" si="8"/>
        <v>1699.940118</v>
      </c>
      <c r="U16" s="1551">
        <f t="shared" si="3"/>
        <v>1741.6000939999999</v>
      </c>
      <c r="V16" s="475">
        <f t="shared" si="9"/>
        <v>1741600.0939999998</v>
      </c>
      <c r="W16" s="475">
        <f>'Production-Ciospi'!Y15</f>
        <v>176827.69500000001</v>
      </c>
      <c r="X16" s="1102">
        <f t="shared" si="10"/>
        <v>9.8491364375925379</v>
      </c>
      <c r="Y16" s="592">
        <f t="shared" si="11"/>
        <v>1741.6000939999999</v>
      </c>
      <c r="Z16" s="665" t="s">
        <v>1259</v>
      </c>
    </row>
    <row r="17" spans="3:28" ht="15.75" thickBot="1">
      <c r="C17" s="1577">
        <v>45261</v>
      </c>
      <c r="D17" s="1553">
        <v>10450</v>
      </c>
      <c r="E17" s="1554">
        <v>1.0920000000000001</v>
      </c>
      <c r="F17" s="1578">
        <f t="shared" si="4"/>
        <v>11.411400000000002</v>
      </c>
      <c r="G17" s="1560">
        <v>187556</v>
      </c>
      <c r="H17" s="1579">
        <v>0.05</v>
      </c>
      <c r="I17" s="1580">
        <f t="shared" si="0"/>
        <v>9.3778000000000006</v>
      </c>
      <c r="J17" s="1581">
        <f t="shared" si="1"/>
        <v>20.789200000000001</v>
      </c>
      <c r="K17" s="1560">
        <v>1565</v>
      </c>
      <c r="L17" s="1561"/>
      <c r="M17" s="1562">
        <f t="shared" si="5"/>
        <v>0</v>
      </c>
      <c r="N17" s="1582"/>
      <c r="O17" s="1562">
        <f t="shared" si="6"/>
        <v>0</v>
      </c>
      <c r="P17" s="1563"/>
      <c r="Q17" s="1308">
        <f t="shared" si="2"/>
        <v>0</v>
      </c>
      <c r="R17" s="1564">
        <f t="shared" si="7"/>
        <v>1565</v>
      </c>
      <c r="S17" s="1565"/>
      <c r="T17" s="1566">
        <f t="shared" si="8"/>
        <v>1565</v>
      </c>
      <c r="U17" s="1583">
        <f t="shared" si="3"/>
        <v>1585.7891999999999</v>
      </c>
      <c r="V17" s="475">
        <f t="shared" si="9"/>
        <v>1585789.2</v>
      </c>
      <c r="W17" s="475">
        <f>'Production-Ciospi'!Y16</f>
        <v>155998.29958333331</v>
      </c>
      <c r="X17" s="1102">
        <f t="shared" si="10"/>
        <v>10.165426188846894</v>
      </c>
      <c r="Y17" s="592">
        <f t="shared" si="11"/>
        <v>1585.7891999999999</v>
      </c>
      <c r="Z17" s="665" t="s">
        <v>1259</v>
      </c>
    </row>
    <row r="18" spans="3:28" ht="15.75" thickBot="1">
      <c r="E18" s="1584"/>
      <c r="U18" s="1585">
        <f>SUM(U6:U17)</f>
        <v>18354.955654945945</v>
      </c>
      <c r="V18" s="828">
        <f>SUM(V6:V17)</f>
        <v>18354955.654945947</v>
      </c>
      <c r="W18" s="828">
        <f>SUM(W6:W17)</f>
        <v>2009553.5217083334</v>
      </c>
      <c r="X18" s="1586">
        <f>V18/W18</f>
        <v>9.1338476217056854</v>
      </c>
      <c r="Y18" s="1587"/>
    </row>
    <row r="19" spans="3:28" ht="15.75" thickBot="1"/>
    <row r="20" spans="3:28" ht="30.75" thickBot="1">
      <c r="C20" s="2198" t="s">
        <v>1261</v>
      </c>
      <c r="D20" s="2199"/>
      <c r="E20" s="2199"/>
      <c r="F20" s="2199"/>
      <c r="G20" s="2200"/>
      <c r="H20" s="2200"/>
      <c r="I20" s="2200"/>
      <c r="J20" s="2200"/>
      <c r="K20" s="2200"/>
      <c r="L20" s="2199"/>
      <c r="M20" s="2199"/>
      <c r="N20" s="2199"/>
      <c r="O20" s="2199"/>
      <c r="P20" s="2199"/>
      <c r="Q20" s="2199"/>
      <c r="R20" s="2201"/>
      <c r="S20" s="1588"/>
      <c r="T20" s="1588"/>
      <c r="U20" s="1588"/>
      <c r="V20" s="1588"/>
      <c r="W20" s="1003"/>
      <c r="X20" s="1589" t="s">
        <v>1262</v>
      </c>
      <c r="Y20" s="1589"/>
      <c r="Z20" s="1589" t="s">
        <v>1263</v>
      </c>
      <c r="AA20" s="1589" t="s">
        <v>1264</v>
      </c>
      <c r="AB20" s="1590" t="s">
        <v>1265</v>
      </c>
    </row>
    <row r="21" spans="3:28" ht="45.75" thickBot="1">
      <c r="C21" s="1591" t="s">
        <v>121</v>
      </c>
      <c r="D21" s="1592" t="s">
        <v>1266</v>
      </c>
      <c r="E21" s="1593" t="s">
        <v>1239</v>
      </c>
      <c r="F21" s="1594" t="s">
        <v>1267</v>
      </c>
      <c r="G21" s="1595" t="s">
        <v>1268</v>
      </c>
      <c r="H21" s="1596" t="s">
        <v>1239</v>
      </c>
      <c r="I21" s="1596" t="s">
        <v>1269</v>
      </c>
      <c r="J21" s="1596" t="s">
        <v>1239</v>
      </c>
      <c r="K21" s="1597" t="s">
        <v>1270</v>
      </c>
      <c r="L21" s="1598" t="s">
        <v>1271</v>
      </c>
      <c r="M21" s="1599" t="s">
        <v>1239</v>
      </c>
      <c r="N21" s="1600" t="s">
        <v>1272</v>
      </c>
      <c r="O21" s="1601" t="s">
        <v>1273</v>
      </c>
      <c r="P21" s="1602" t="s">
        <v>1239</v>
      </c>
      <c r="Q21" s="1603" t="s">
        <v>1274</v>
      </c>
      <c r="R21" s="1604" t="s">
        <v>1275</v>
      </c>
      <c r="X21" s="610" t="s">
        <v>1276</v>
      </c>
      <c r="Y21" s="610"/>
      <c r="Z21" s="610" t="s">
        <v>1277</v>
      </c>
      <c r="AA21" s="1605" t="s">
        <v>1278</v>
      </c>
      <c r="AB21" s="651">
        <v>63.8</v>
      </c>
    </row>
    <row r="22" spans="3:28">
      <c r="C22" s="1606">
        <v>44927</v>
      </c>
      <c r="D22" s="1863">
        <v>213347</v>
      </c>
      <c r="E22" s="1608">
        <v>6.38</v>
      </c>
      <c r="F22" s="1609">
        <f t="shared" ref="F22:F29" si="12">(D22*E22)/1000</f>
        <v>1361.1538599999999</v>
      </c>
      <c r="G22" s="1610">
        <v>253077</v>
      </c>
      <c r="H22" s="1611">
        <v>2.58</v>
      </c>
      <c r="I22" s="1611"/>
      <c r="J22" s="1612">
        <v>525</v>
      </c>
      <c r="K22" s="1613">
        <f>(G22*H22)/1000+(I22*J22)/1000</f>
        <v>652.93866000000003</v>
      </c>
      <c r="L22" s="1866">
        <v>235374</v>
      </c>
      <c r="M22" s="1615">
        <v>5.74</v>
      </c>
      <c r="N22" s="1616">
        <f t="shared" ref="N22:N33" si="13">(L22*M22)/1000</f>
        <v>1351.0467599999999</v>
      </c>
      <c r="O22" s="1614">
        <v>1790149</v>
      </c>
      <c r="P22" s="1617">
        <v>0.104</v>
      </c>
      <c r="Q22" s="1618">
        <f t="shared" ref="Q22:Q33" si="14">(O22*P22)/1000</f>
        <v>186.17549599999998</v>
      </c>
      <c r="R22" s="1619">
        <f t="shared" ref="R22:R33" si="15">Q22+N22+K22+F22</f>
        <v>3551.3147759999997</v>
      </c>
      <c r="X22" s="610" t="s">
        <v>1279</v>
      </c>
      <c r="Y22" s="610"/>
      <c r="Z22" s="610" t="s">
        <v>1280</v>
      </c>
      <c r="AA22" s="1605" t="s">
        <v>1281</v>
      </c>
      <c r="AB22" s="651">
        <f>27.2+24.5</f>
        <v>51.7</v>
      </c>
    </row>
    <row r="23" spans="3:28">
      <c r="C23" s="1620">
        <v>44958</v>
      </c>
      <c r="D23" s="1836">
        <v>154868</v>
      </c>
      <c r="E23" s="610">
        <v>6.38</v>
      </c>
      <c r="F23" s="1621">
        <f t="shared" si="12"/>
        <v>988.05783999999994</v>
      </c>
      <c r="G23" s="1622">
        <v>189435</v>
      </c>
      <c r="H23" s="1623">
        <v>2.58</v>
      </c>
      <c r="I23" s="1611"/>
      <c r="J23" s="1624">
        <v>525</v>
      </c>
      <c r="K23" s="1613">
        <f>(G23*H23)/1000+(I23*J23)/1000</f>
        <v>488.7423</v>
      </c>
      <c r="L23" s="1835">
        <v>176690</v>
      </c>
      <c r="M23" s="1623">
        <v>5.74</v>
      </c>
      <c r="N23" s="1625">
        <f t="shared" si="13"/>
        <v>1014.2006000000001</v>
      </c>
      <c r="O23" s="1622">
        <v>1462310</v>
      </c>
      <c r="P23" s="1626">
        <v>0.104</v>
      </c>
      <c r="Q23" s="1627">
        <f t="shared" si="14"/>
        <v>152.08024</v>
      </c>
      <c r="R23" s="1628">
        <f t="shared" si="15"/>
        <v>2643.0809800000002</v>
      </c>
      <c r="X23" s="610" t="s">
        <v>1269</v>
      </c>
      <c r="Y23" s="610"/>
      <c r="Z23" s="610"/>
      <c r="AA23" s="1605" t="s">
        <v>1282</v>
      </c>
      <c r="AB23" s="651">
        <v>525</v>
      </c>
    </row>
    <row r="24" spans="3:28">
      <c r="C24" s="1620">
        <v>44986</v>
      </c>
      <c r="D24" s="1836">
        <v>397422</v>
      </c>
      <c r="E24" s="610">
        <v>6.38</v>
      </c>
      <c r="F24" s="1621">
        <f t="shared" si="12"/>
        <v>2535.5523599999997</v>
      </c>
      <c r="G24" s="1622">
        <v>205174</v>
      </c>
      <c r="H24" s="1623">
        <v>2.58</v>
      </c>
      <c r="I24" s="1611"/>
      <c r="J24" s="1624">
        <v>525</v>
      </c>
      <c r="K24" s="1613">
        <f t="shared" ref="K24:K26" si="16">(G24*H24)/1000+(I24*J24)/1000</f>
        <v>529.34892000000002</v>
      </c>
      <c r="L24" s="1835">
        <v>103377</v>
      </c>
      <c r="M24" s="1623">
        <v>5.74</v>
      </c>
      <c r="N24" s="1625">
        <f t="shared" si="13"/>
        <v>593.38397999999995</v>
      </c>
      <c r="O24" s="1622">
        <v>2018658</v>
      </c>
      <c r="P24" s="1626">
        <v>0.104</v>
      </c>
      <c r="Q24" s="1627">
        <f t="shared" si="14"/>
        <v>209.94043199999999</v>
      </c>
      <c r="R24" s="1628">
        <f t="shared" si="15"/>
        <v>3868.2256919999995</v>
      </c>
      <c r="X24" s="610" t="s">
        <v>1283</v>
      </c>
      <c r="Y24" s="610"/>
      <c r="Z24" s="610" t="s">
        <v>51</v>
      </c>
      <c r="AA24" s="1605" t="s">
        <v>1284</v>
      </c>
      <c r="AB24" s="651">
        <f>36.8+48.5+8.4+21.1</f>
        <v>114.80000000000001</v>
      </c>
    </row>
    <row r="25" spans="3:28">
      <c r="C25" s="1620">
        <v>45017</v>
      </c>
      <c r="D25" s="1836">
        <v>169402</v>
      </c>
      <c r="E25" s="610">
        <v>6.38</v>
      </c>
      <c r="F25" s="1621">
        <f t="shared" si="12"/>
        <v>1080.78476</v>
      </c>
      <c r="G25" s="1622">
        <v>244494</v>
      </c>
      <c r="H25" s="1623">
        <v>2.58</v>
      </c>
      <c r="I25" s="1611"/>
      <c r="J25" s="1624">
        <v>525</v>
      </c>
      <c r="K25" s="1613">
        <f t="shared" si="16"/>
        <v>630.79452000000003</v>
      </c>
      <c r="L25" s="1835">
        <v>190937</v>
      </c>
      <c r="M25" s="1623">
        <v>5.74</v>
      </c>
      <c r="N25" s="1625">
        <f t="shared" si="13"/>
        <v>1095.97838</v>
      </c>
      <c r="O25" s="1622">
        <v>2599813</v>
      </c>
      <c r="P25" s="1626">
        <v>0.104</v>
      </c>
      <c r="Q25" s="1627">
        <f t="shared" si="14"/>
        <v>270.38055199999997</v>
      </c>
      <c r="R25" s="1628">
        <f t="shared" si="15"/>
        <v>3077.938212</v>
      </c>
      <c r="X25" s="610" t="s">
        <v>1285</v>
      </c>
      <c r="Y25" s="610"/>
      <c r="Z25" s="610" t="s">
        <v>51</v>
      </c>
      <c r="AA25" s="1605" t="s">
        <v>1286</v>
      </c>
      <c r="AB25" s="651">
        <f>1.229+0.853+1.025</f>
        <v>3.1069999999999998</v>
      </c>
    </row>
    <row r="26" spans="3:28">
      <c r="C26" s="1620">
        <v>45047</v>
      </c>
      <c r="D26" s="788">
        <v>258378</v>
      </c>
      <c r="E26" s="610">
        <v>6.38</v>
      </c>
      <c r="F26" s="1621">
        <f t="shared" si="12"/>
        <v>1648.45164</v>
      </c>
      <c r="G26" s="1835">
        <v>379246</v>
      </c>
      <c r="H26" s="1623">
        <v>2.58</v>
      </c>
      <c r="I26" s="1611"/>
      <c r="J26" s="1624">
        <v>525</v>
      </c>
      <c r="K26" s="1613">
        <f t="shared" si="16"/>
        <v>978.45468000000005</v>
      </c>
      <c r="L26" s="1835">
        <v>185301</v>
      </c>
      <c r="M26" s="1623">
        <v>5.74</v>
      </c>
      <c r="N26" s="1625">
        <f t="shared" si="13"/>
        <v>1063.6277399999999</v>
      </c>
      <c r="O26" s="1622">
        <v>2072040</v>
      </c>
      <c r="P26" s="1626">
        <v>0.104</v>
      </c>
      <c r="Q26" s="1627">
        <f t="shared" si="14"/>
        <v>215.49216000000001</v>
      </c>
      <c r="R26" s="1628">
        <f t="shared" si="15"/>
        <v>3906.0262199999997</v>
      </c>
      <c r="X26" s="610" t="s">
        <v>1287</v>
      </c>
      <c r="Y26" s="610"/>
      <c r="Z26" s="610" t="s">
        <v>51</v>
      </c>
      <c r="AA26" s="1605" t="s">
        <v>1288</v>
      </c>
      <c r="AB26" s="651">
        <f>11.58+16.57+5.1</f>
        <v>33.25</v>
      </c>
    </row>
    <row r="27" spans="3:28" ht="15.75" thickBot="1">
      <c r="C27" s="1629">
        <v>45078</v>
      </c>
      <c r="D27" s="1630">
        <v>355037</v>
      </c>
      <c r="E27" s="1347">
        <v>6.38</v>
      </c>
      <c r="F27" s="1631">
        <f t="shared" si="12"/>
        <v>2265.1360600000003</v>
      </c>
      <c r="G27" s="1865">
        <v>276673</v>
      </c>
      <c r="H27" s="1633">
        <v>2.58</v>
      </c>
      <c r="I27" s="1634"/>
      <c r="J27" s="1635">
        <v>525</v>
      </c>
      <c r="K27" s="1636">
        <f>(G27*H27)/1000+(I27*J27)/1000</f>
        <v>713.81633999999997</v>
      </c>
      <c r="L27" s="1637">
        <v>204334</v>
      </c>
      <c r="M27" s="1638">
        <v>5.74</v>
      </c>
      <c r="N27" s="1639">
        <f t="shared" si="13"/>
        <v>1172.8771600000002</v>
      </c>
      <c r="O27" s="1637">
        <v>2163867</v>
      </c>
      <c r="P27" s="1640">
        <v>0.104</v>
      </c>
      <c r="Q27" s="1641">
        <f t="shared" si="14"/>
        <v>225.04216799999998</v>
      </c>
      <c r="R27" s="1642">
        <f t="shared" si="15"/>
        <v>4376.8717280000001</v>
      </c>
    </row>
    <row r="28" spans="3:28">
      <c r="C28" s="1643">
        <v>45108</v>
      </c>
      <c r="D28" s="1864">
        <v>228197</v>
      </c>
      <c r="E28" s="647">
        <v>6.38</v>
      </c>
      <c r="F28" s="1644">
        <f t="shared" si="12"/>
        <v>1455.8968599999998</v>
      </c>
      <c r="G28" s="1866">
        <v>262853</v>
      </c>
      <c r="H28" s="1645">
        <v>2.58</v>
      </c>
      <c r="I28" s="1646">
        <v>218.5</v>
      </c>
      <c r="J28" s="1612">
        <v>525</v>
      </c>
      <c r="K28" s="1616">
        <f>(G28*H28)/1000+(I28*J28)/1000</f>
        <v>792.87324000000001</v>
      </c>
      <c r="L28" s="1868">
        <v>194226</v>
      </c>
      <c r="M28" s="1648">
        <v>5.74</v>
      </c>
      <c r="N28" s="1625">
        <f t="shared" si="13"/>
        <v>1114.85724</v>
      </c>
      <c r="O28" s="1610">
        <v>1180034</v>
      </c>
      <c r="P28" s="1649">
        <v>0.104</v>
      </c>
      <c r="Q28" s="1627">
        <f t="shared" si="14"/>
        <v>122.723536</v>
      </c>
      <c r="R28" s="1650">
        <f t="shared" si="15"/>
        <v>3486.350876</v>
      </c>
    </row>
    <row r="29" spans="3:28">
      <c r="C29" s="1620">
        <v>45139</v>
      </c>
      <c r="D29" s="1836">
        <v>180342</v>
      </c>
      <c r="E29" s="610">
        <v>6.38</v>
      </c>
      <c r="F29" s="1644">
        <f t="shared" si="12"/>
        <v>1150.58196</v>
      </c>
      <c r="G29" s="1835">
        <v>203142</v>
      </c>
      <c r="H29" s="1651">
        <v>2.58</v>
      </c>
      <c r="I29" s="1652">
        <v>430.48</v>
      </c>
      <c r="J29" s="1624">
        <v>525</v>
      </c>
      <c r="K29" s="1653">
        <f>(G29*H29)/1000+(I29*J29)/1000</f>
        <v>750.10835999999995</v>
      </c>
      <c r="L29" s="1869">
        <v>146580</v>
      </c>
      <c r="M29" s="1651">
        <v>5.74</v>
      </c>
      <c r="N29" s="1625">
        <f t="shared" si="13"/>
        <v>841.36920000000009</v>
      </c>
      <c r="O29" s="1622">
        <v>1195160</v>
      </c>
      <c r="P29" s="1655">
        <v>0.104</v>
      </c>
      <c r="Q29" s="1627">
        <f t="shared" si="14"/>
        <v>124.29664</v>
      </c>
      <c r="R29" s="1628">
        <f t="shared" si="15"/>
        <v>2866.3561600000003</v>
      </c>
    </row>
    <row r="30" spans="3:28">
      <c r="C30" s="1620">
        <v>45170</v>
      </c>
      <c r="D30" s="1835">
        <v>260282</v>
      </c>
      <c r="E30" s="610">
        <v>6.38</v>
      </c>
      <c r="F30" s="1644">
        <f>D30*E30/1000</f>
        <v>1660.59916</v>
      </c>
      <c r="G30" s="1835">
        <v>383387</v>
      </c>
      <c r="H30" s="1651">
        <v>2.58</v>
      </c>
      <c r="I30" s="1651"/>
      <c r="J30" s="1624">
        <v>525</v>
      </c>
      <c r="K30" s="1653">
        <f t="shared" ref="K30:K32" si="17">(G30*H30)/1000+(I30*J30)/1000</f>
        <v>989.13846000000012</v>
      </c>
      <c r="L30" s="1869">
        <v>166919</v>
      </c>
      <c r="M30" s="1651">
        <v>5.74</v>
      </c>
      <c r="N30" s="1625">
        <f t="shared" si="13"/>
        <v>958.11506000000008</v>
      </c>
      <c r="O30" s="1622">
        <v>1727735</v>
      </c>
      <c r="P30" s="1655">
        <v>0.104</v>
      </c>
      <c r="Q30" s="1627">
        <f t="shared" si="14"/>
        <v>179.68444</v>
      </c>
      <c r="R30" s="1628">
        <f t="shared" si="15"/>
        <v>3787.53712</v>
      </c>
    </row>
    <row r="31" spans="3:28">
      <c r="C31" s="1620">
        <v>45200</v>
      </c>
      <c r="D31" s="1835">
        <v>224801</v>
      </c>
      <c r="E31" s="610">
        <v>6.38</v>
      </c>
      <c r="F31" s="1644">
        <f t="shared" ref="F31:F33" si="18">D31*E31/1000</f>
        <v>1434.23038</v>
      </c>
      <c r="G31" s="1835">
        <v>202813</v>
      </c>
      <c r="H31" s="1651">
        <v>2.58</v>
      </c>
      <c r="I31" s="1651"/>
      <c r="J31" s="1624">
        <v>525</v>
      </c>
      <c r="K31" s="1653">
        <f t="shared" si="17"/>
        <v>523.25754000000006</v>
      </c>
      <c r="L31" s="1869">
        <v>185469</v>
      </c>
      <c r="M31" s="1651">
        <v>5.74</v>
      </c>
      <c r="N31" s="1625">
        <f t="shared" si="13"/>
        <v>1064.5920599999999</v>
      </c>
      <c r="O31" s="1622">
        <v>1872254</v>
      </c>
      <c r="P31" s="1655">
        <v>0.104</v>
      </c>
      <c r="Q31" s="1627">
        <f t="shared" si="14"/>
        <v>194.714416</v>
      </c>
      <c r="R31" s="1628">
        <f t="shared" si="15"/>
        <v>3216.7943960000002</v>
      </c>
    </row>
    <row r="32" spans="3:28">
      <c r="C32" s="1620">
        <v>45231</v>
      </c>
      <c r="D32" s="1622">
        <v>292318</v>
      </c>
      <c r="E32" s="610">
        <v>6.38</v>
      </c>
      <c r="F32" s="1644">
        <f t="shared" si="18"/>
        <v>1864.98884</v>
      </c>
      <c r="G32" s="1835">
        <v>246823</v>
      </c>
      <c r="H32" s="1651">
        <v>2.58</v>
      </c>
      <c r="I32" s="1651"/>
      <c r="J32" s="1624">
        <v>525</v>
      </c>
      <c r="K32" s="1653">
        <f t="shared" si="17"/>
        <v>636.80333999999993</v>
      </c>
      <c r="L32" s="1654">
        <v>172833</v>
      </c>
      <c r="M32" s="1651">
        <v>5.74</v>
      </c>
      <c r="N32" s="1625">
        <f t="shared" si="13"/>
        <v>992.06142</v>
      </c>
      <c r="O32" s="1622">
        <v>1996488</v>
      </c>
      <c r="P32" s="1655">
        <v>0.104</v>
      </c>
      <c r="Q32" s="1627">
        <f t="shared" si="14"/>
        <v>207.63475199999999</v>
      </c>
      <c r="R32" s="1628">
        <f t="shared" si="15"/>
        <v>3701.4883519999998</v>
      </c>
    </row>
    <row r="33" spans="3:18" ht="15.75" thickBot="1">
      <c r="C33" s="1629">
        <v>45261</v>
      </c>
      <c r="D33" s="1637">
        <v>316300</v>
      </c>
      <c r="E33" s="1347">
        <v>6.38</v>
      </c>
      <c r="F33" s="1656">
        <f t="shared" si="18"/>
        <v>2017.9939999999999</v>
      </c>
      <c r="G33" s="1867">
        <v>177383</v>
      </c>
      <c r="H33" s="1657">
        <v>2.58</v>
      </c>
      <c r="I33" s="1657"/>
      <c r="J33" s="1635">
        <v>525</v>
      </c>
      <c r="K33" s="1658">
        <f>(G33*H33)/1000+(I33*J33)/1000</f>
        <v>457.64814000000001</v>
      </c>
      <c r="L33" s="1659">
        <v>148450</v>
      </c>
      <c r="M33" s="1657">
        <v>5.74</v>
      </c>
      <c r="N33" s="1639">
        <f t="shared" si="13"/>
        <v>852.10299999999995</v>
      </c>
      <c r="O33" s="1637">
        <v>2091049</v>
      </c>
      <c r="P33" s="1660">
        <v>0.104</v>
      </c>
      <c r="Q33" s="1641">
        <f t="shared" si="14"/>
        <v>217.46909599999998</v>
      </c>
      <c r="R33" s="1642">
        <f t="shared" si="15"/>
        <v>3545.2142359999998</v>
      </c>
    </row>
    <row r="35" spans="3:18" ht="15.75" thickBot="1"/>
    <row r="36" spans="3:18" ht="15.75" thickBot="1">
      <c r="C36" s="2202" t="s">
        <v>1289</v>
      </c>
      <c r="D36" s="2203"/>
      <c r="E36" s="2203"/>
      <c r="F36" s="2204"/>
    </row>
    <row r="37" spans="3:18" ht="45.75" thickBot="1">
      <c r="C37" s="1661" t="s">
        <v>121</v>
      </c>
      <c r="D37" s="1662" t="s">
        <v>1290</v>
      </c>
      <c r="E37" s="1662" t="s">
        <v>1291</v>
      </c>
      <c r="F37" s="1663" t="s">
        <v>1292</v>
      </c>
      <c r="H37" s="2205" t="s">
        <v>1293</v>
      </c>
      <c r="I37" s="2206"/>
      <c r="J37" s="2206"/>
      <c r="K37" s="2207"/>
      <c r="L37" s="2208"/>
      <c r="N37" s="651" t="s">
        <v>1294</v>
      </c>
      <c r="O37" s="1664" t="s">
        <v>1295</v>
      </c>
      <c r="P37" s="610" t="s">
        <v>1296</v>
      </c>
    </row>
    <row r="38" spans="3:18">
      <c r="C38" s="1522">
        <v>44927</v>
      </c>
      <c r="D38" s="1614">
        <v>23049</v>
      </c>
      <c r="E38" s="953">
        <v>1.2</v>
      </c>
      <c r="F38" s="1665">
        <f>D38*E38</f>
        <v>27658.799999999999</v>
      </c>
      <c r="H38" s="2209">
        <f t="shared" ref="H38:H49" si="19">F38+R22+U6</f>
        <v>32662.95954208108</v>
      </c>
      <c r="I38" s="2210"/>
      <c r="J38" s="2210"/>
      <c r="K38" s="2211"/>
      <c r="L38" s="2212"/>
      <c r="N38" s="1192" t="s">
        <v>278</v>
      </c>
      <c r="O38" s="1683">
        <v>270</v>
      </c>
      <c r="P38" s="1684">
        <v>680.4</v>
      </c>
    </row>
    <row r="39" spans="3:18">
      <c r="C39" s="1538">
        <v>44958</v>
      </c>
      <c r="D39" s="1834">
        <v>13429</v>
      </c>
      <c r="E39" s="651">
        <v>1.2</v>
      </c>
      <c r="F39" s="1667">
        <f t="shared" ref="F39:F49" si="20">D39*E39</f>
        <v>16114.8</v>
      </c>
      <c r="H39" s="2174">
        <f t="shared" si="19"/>
        <v>19692.170287999998</v>
      </c>
      <c r="I39" s="2175"/>
      <c r="J39" s="2175"/>
      <c r="K39" s="2176"/>
      <c r="L39" s="2177"/>
      <c r="N39" s="1192" t="s">
        <v>279</v>
      </c>
      <c r="O39" s="1683">
        <v>0</v>
      </c>
      <c r="P39" s="1684">
        <v>0</v>
      </c>
    </row>
    <row r="40" spans="3:18">
      <c r="C40" s="1538">
        <v>44986</v>
      </c>
      <c r="D40" s="1835">
        <v>14689</v>
      </c>
      <c r="E40" s="651">
        <v>1.2</v>
      </c>
      <c r="F40" s="1667">
        <f t="shared" si="20"/>
        <v>17626.8</v>
      </c>
      <c r="H40" s="2174">
        <f t="shared" si="19"/>
        <v>22903.41028</v>
      </c>
      <c r="I40" s="2175"/>
      <c r="J40" s="2175"/>
      <c r="K40" s="2176"/>
      <c r="L40" s="2177"/>
      <c r="N40" s="1192" t="s">
        <v>280</v>
      </c>
      <c r="O40" s="1683">
        <v>120</v>
      </c>
      <c r="P40" s="1684">
        <v>274.2</v>
      </c>
    </row>
    <row r="41" spans="3:18">
      <c r="C41" s="1538">
        <v>45017</v>
      </c>
      <c r="D41" s="1835">
        <f>16695</f>
        <v>16695</v>
      </c>
      <c r="E41" s="651">
        <v>1.2</v>
      </c>
      <c r="F41" s="1667">
        <f t="shared" si="20"/>
        <v>20034</v>
      </c>
      <c r="H41" s="2174">
        <f t="shared" si="19"/>
        <v>24259.749890378378</v>
      </c>
      <c r="I41" s="2175"/>
      <c r="J41" s="2175"/>
      <c r="K41" s="2176"/>
      <c r="L41" s="2177"/>
      <c r="N41" s="1192" t="s">
        <v>281</v>
      </c>
      <c r="O41" s="1683">
        <v>300</v>
      </c>
      <c r="P41" s="1684">
        <v>698.4</v>
      </c>
    </row>
    <row r="42" spans="3:18">
      <c r="C42" s="1538">
        <v>45047</v>
      </c>
      <c r="D42" s="1622">
        <v>19535</v>
      </c>
      <c r="E42" s="651">
        <v>1.2</v>
      </c>
      <c r="F42" s="1667">
        <f t="shared" si="20"/>
        <v>23442</v>
      </c>
      <c r="H42" s="2174">
        <f t="shared" si="19"/>
        <v>29041.252179999999</v>
      </c>
      <c r="I42" s="2175"/>
      <c r="J42" s="2175"/>
      <c r="K42" s="2176"/>
      <c r="L42" s="2177"/>
      <c r="N42" s="1192" t="s">
        <v>132</v>
      </c>
      <c r="O42" s="1683">
        <v>0</v>
      </c>
      <c r="P42" s="1684">
        <v>0</v>
      </c>
    </row>
    <row r="43" spans="3:18" ht="15.75" thickBot="1">
      <c r="C43" s="1577">
        <v>45078</v>
      </c>
      <c r="D43" s="1637">
        <v>18985</v>
      </c>
      <c r="E43" s="713">
        <v>1.2</v>
      </c>
      <c r="F43" s="1668">
        <f t="shared" si="20"/>
        <v>22782</v>
      </c>
      <c r="H43" s="2178">
        <f t="shared" si="19"/>
        <v>28932.040491999996</v>
      </c>
      <c r="I43" s="2179"/>
      <c r="J43" s="2179"/>
      <c r="K43" s="2180"/>
      <c r="L43" s="2181"/>
      <c r="N43" s="1192" t="s">
        <v>282</v>
      </c>
      <c r="O43" s="1683">
        <v>309</v>
      </c>
      <c r="P43" s="1684">
        <f>750+18.66</f>
        <v>768.66</v>
      </c>
    </row>
    <row r="44" spans="3:18">
      <c r="C44" s="1669">
        <v>45108</v>
      </c>
      <c r="D44" s="1610">
        <v>17993</v>
      </c>
      <c r="E44" s="499">
        <v>1.2</v>
      </c>
      <c r="F44" s="1670">
        <f t="shared" si="20"/>
        <v>21591.599999999999</v>
      </c>
      <c r="H44" s="2185">
        <f t="shared" si="19"/>
        <v>26743.752726999999</v>
      </c>
      <c r="I44" s="2186"/>
      <c r="J44" s="2186"/>
      <c r="K44" s="2187"/>
      <c r="L44" s="2188"/>
      <c r="N44" s="1192" t="s">
        <v>283</v>
      </c>
      <c r="O44" s="1870">
        <v>150</v>
      </c>
      <c r="P44" s="1684">
        <v>0</v>
      </c>
    </row>
    <row r="45" spans="3:18">
      <c r="C45" s="1538">
        <v>45139</v>
      </c>
      <c r="D45" s="1622">
        <v>16124</v>
      </c>
      <c r="E45" s="651">
        <v>1.2</v>
      </c>
      <c r="F45" s="1667">
        <f t="shared" si="20"/>
        <v>19348.8</v>
      </c>
      <c r="H45" s="2174">
        <f t="shared" si="19"/>
        <v>24222.478538378378</v>
      </c>
      <c r="I45" s="2175"/>
      <c r="J45" s="2175"/>
      <c r="K45" s="2176"/>
      <c r="L45" s="2177"/>
      <c r="N45" s="1192" t="s">
        <v>284</v>
      </c>
      <c r="O45" s="1870">
        <v>900</v>
      </c>
      <c r="P45" s="1684">
        <v>0</v>
      </c>
    </row>
    <row r="46" spans="3:18">
      <c r="C46" s="1538">
        <v>45170</v>
      </c>
      <c r="D46" s="1622">
        <v>18448</v>
      </c>
      <c r="E46" s="651">
        <v>1.2</v>
      </c>
      <c r="F46" s="1667">
        <f t="shared" si="20"/>
        <v>22137.599999999999</v>
      </c>
      <c r="H46" s="2174">
        <f t="shared" si="19"/>
        <v>27427.441838999999</v>
      </c>
      <c r="I46" s="2175"/>
      <c r="J46" s="2175"/>
      <c r="K46" s="2176"/>
      <c r="L46" s="2177"/>
      <c r="N46" s="1192" t="s">
        <v>285</v>
      </c>
      <c r="O46" s="1683">
        <v>1490</v>
      </c>
      <c r="P46" s="1684">
        <v>3156.18</v>
      </c>
    </row>
    <row r="47" spans="3:18">
      <c r="C47" s="1538">
        <v>45200</v>
      </c>
      <c r="D47" s="1622">
        <v>19881</v>
      </c>
      <c r="E47" s="651">
        <v>1.2</v>
      </c>
      <c r="F47" s="1667">
        <f t="shared" si="20"/>
        <v>23857.200000000001</v>
      </c>
      <c r="H47" s="2174">
        <f t="shared" si="19"/>
        <v>28516.40674410811</v>
      </c>
      <c r="I47" s="2175"/>
      <c r="J47" s="2175"/>
      <c r="K47" s="2176"/>
      <c r="L47" s="2177"/>
      <c r="N47" s="1192" t="s">
        <v>286</v>
      </c>
      <c r="O47" s="1870">
        <v>1470</v>
      </c>
      <c r="P47" s="1684">
        <v>0</v>
      </c>
    </row>
    <row r="48" spans="3:18">
      <c r="C48" s="1538">
        <v>45231</v>
      </c>
      <c r="D48" s="1622">
        <v>16512</v>
      </c>
      <c r="E48" s="651">
        <v>1.2</v>
      </c>
      <c r="F48" s="1667">
        <f t="shared" si="20"/>
        <v>19814.399999999998</v>
      </c>
      <c r="H48" s="2174">
        <f t="shared" si="19"/>
        <v>25257.488445999999</v>
      </c>
      <c r="I48" s="2175"/>
      <c r="J48" s="2175"/>
      <c r="K48" s="2176"/>
      <c r="L48" s="2177"/>
      <c r="N48" s="1192" t="s">
        <v>287</v>
      </c>
      <c r="O48" s="1683">
        <v>0</v>
      </c>
      <c r="P48" s="1684">
        <v>0</v>
      </c>
    </row>
    <row r="49" spans="3:16" ht="15.75" thickBot="1">
      <c r="C49" s="1577">
        <v>45261</v>
      </c>
      <c r="D49" s="1637">
        <v>20362</v>
      </c>
      <c r="E49" s="713">
        <v>1.2</v>
      </c>
      <c r="F49" s="1668">
        <f t="shared" si="20"/>
        <v>24434.399999999998</v>
      </c>
      <c r="H49" s="2178">
        <f t="shared" si="19"/>
        <v>29565.403435999997</v>
      </c>
      <c r="I49" s="2179"/>
      <c r="J49" s="2179"/>
      <c r="K49" s="2180"/>
      <c r="L49" s="2181"/>
      <c r="N49" s="1192" t="s">
        <v>288</v>
      </c>
      <c r="O49" s="1683">
        <v>720</v>
      </c>
      <c r="P49" s="1684">
        <f>1366.56+137.88</f>
        <v>1504.44</v>
      </c>
    </row>
    <row r="50" spans="3:16" ht="15.75" thickBot="1"/>
    <row r="51" spans="3:16" ht="15.75" thickBot="1">
      <c r="C51" s="2182" t="s">
        <v>1297</v>
      </c>
      <c r="D51" s="2183"/>
      <c r="E51" s="2183"/>
      <c r="F51" s="2184"/>
    </row>
    <row r="52" spans="3:16" ht="15.75" thickBot="1">
      <c r="C52" s="1671" t="s">
        <v>121</v>
      </c>
      <c r="D52" s="1672" t="s">
        <v>1298</v>
      </c>
      <c r="E52" s="1673" t="s">
        <v>1299</v>
      </c>
      <c r="F52" s="1673" t="s">
        <v>1300</v>
      </c>
    </row>
    <row r="53" spans="3:16">
      <c r="C53" s="1674">
        <v>44927</v>
      </c>
      <c r="D53" s="819">
        <f>F38</f>
        <v>27658.799999999999</v>
      </c>
      <c r="E53" s="1675">
        <f>D53*60%</f>
        <v>16595.28</v>
      </c>
      <c r="F53" s="1676">
        <f>D53*40%</f>
        <v>11063.52</v>
      </c>
    </row>
    <row r="54" spans="3:16">
      <c r="C54" s="1677">
        <v>44958</v>
      </c>
      <c r="D54" s="822">
        <f t="shared" ref="D54:D63" si="21">F39</f>
        <v>16114.8</v>
      </c>
      <c r="E54" s="1372">
        <f t="shared" ref="E54:E64" si="22">D54*60%</f>
        <v>9668.8799999999992</v>
      </c>
      <c r="F54" s="1678">
        <f t="shared" ref="F54:F64" si="23">D54*40%</f>
        <v>6445.92</v>
      </c>
    </row>
    <row r="55" spans="3:16">
      <c r="C55" s="1677">
        <v>44986</v>
      </c>
      <c r="D55" s="822">
        <f t="shared" si="21"/>
        <v>17626.8</v>
      </c>
      <c r="E55" s="1372">
        <f t="shared" si="22"/>
        <v>10576.08</v>
      </c>
      <c r="F55" s="1678">
        <f t="shared" si="23"/>
        <v>7050.72</v>
      </c>
    </row>
    <row r="56" spans="3:16">
      <c r="C56" s="1677">
        <v>45017</v>
      </c>
      <c r="D56" s="822">
        <f t="shared" si="21"/>
        <v>20034</v>
      </c>
      <c r="E56" s="1372">
        <f t="shared" si="22"/>
        <v>12020.4</v>
      </c>
      <c r="F56" s="1678">
        <f t="shared" si="23"/>
        <v>8013.6</v>
      </c>
    </row>
    <row r="57" spans="3:16">
      <c r="C57" s="1677">
        <v>45047</v>
      </c>
      <c r="D57" s="822">
        <f t="shared" si="21"/>
        <v>23442</v>
      </c>
      <c r="E57" s="1372">
        <f t="shared" si="22"/>
        <v>14065.199999999999</v>
      </c>
      <c r="F57" s="1678">
        <f t="shared" si="23"/>
        <v>9376.8000000000011</v>
      </c>
    </row>
    <row r="58" spans="3:16" ht="15.75" thickBot="1">
      <c r="C58" s="1679">
        <v>45078</v>
      </c>
      <c r="D58" s="825">
        <f t="shared" si="21"/>
        <v>22782</v>
      </c>
      <c r="E58" s="1680">
        <f t="shared" si="22"/>
        <v>13669.199999999999</v>
      </c>
      <c r="F58" s="1681">
        <f t="shared" si="23"/>
        <v>9112.8000000000011</v>
      </c>
    </row>
    <row r="59" spans="3:16">
      <c r="C59" s="1682">
        <v>45108</v>
      </c>
      <c r="D59" s="819">
        <f t="shared" si="21"/>
        <v>21591.599999999999</v>
      </c>
      <c r="E59" s="1675">
        <f t="shared" si="22"/>
        <v>12954.96</v>
      </c>
      <c r="F59" s="1676">
        <f t="shared" si="23"/>
        <v>8636.64</v>
      </c>
    </row>
    <row r="60" spans="3:16">
      <c r="C60" s="1677">
        <v>45139</v>
      </c>
      <c r="D60" s="822">
        <f t="shared" si="21"/>
        <v>19348.8</v>
      </c>
      <c r="E60" s="1372">
        <f t="shared" si="22"/>
        <v>11609.279999999999</v>
      </c>
      <c r="F60" s="1678">
        <f t="shared" si="23"/>
        <v>7739.52</v>
      </c>
    </row>
    <row r="61" spans="3:16">
      <c r="C61" s="1677">
        <v>45170</v>
      </c>
      <c r="D61" s="822">
        <f t="shared" si="21"/>
        <v>22137.599999999999</v>
      </c>
      <c r="E61" s="1372">
        <f t="shared" si="22"/>
        <v>13282.56</v>
      </c>
      <c r="F61" s="1678">
        <f t="shared" si="23"/>
        <v>8855.0399999999991</v>
      </c>
    </row>
    <row r="62" spans="3:16">
      <c r="C62" s="1677">
        <v>45200</v>
      </c>
      <c r="D62" s="822">
        <f t="shared" si="21"/>
        <v>23857.200000000001</v>
      </c>
      <c r="E62" s="1372">
        <f t="shared" si="22"/>
        <v>14314.32</v>
      </c>
      <c r="F62" s="1678">
        <f t="shared" si="23"/>
        <v>9542.880000000001</v>
      </c>
    </row>
    <row r="63" spans="3:16">
      <c r="C63" s="1677">
        <v>45231</v>
      </c>
      <c r="D63" s="822">
        <f t="shared" si="21"/>
        <v>19814.399999999998</v>
      </c>
      <c r="E63" s="1372">
        <f t="shared" si="22"/>
        <v>11888.639999999998</v>
      </c>
      <c r="F63" s="1678">
        <f t="shared" si="23"/>
        <v>7925.7599999999993</v>
      </c>
    </row>
    <row r="64" spans="3:16" ht="15.75" thickBot="1">
      <c r="C64" s="1679">
        <v>45261</v>
      </c>
      <c r="D64" s="825">
        <v>20362</v>
      </c>
      <c r="E64" s="1680">
        <f t="shared" si="22"/>
        <v>12217.199999999999</v>
      </c>
      <c r="F64" s="1681">
        <f t="shared" si="23"/>
        <v>8144.8</v>
      </c>
    </row>
    <row r="67" spans="1:28">
      <c r="C67" s="2213">
        <v>2024</v>
      </c>
    </row>
    <row r="68" spans="1:28">
      <c r="C68" s="2213"/>
    </row>
    <row r="70" spans="1:28" ht="15.75" thickBot="1">
      <c r="C70" s="2050" t="s">
        <v>1234</v>
      </c>
      <c r="D70" s="2051"/>
      <c r="E70" s="2051"/>
      <c r="F70" s="2051"/>
      <c r="G70" s="2051"/>
      <c r="H70" s="2051"/>
      <c r="I70" s="2051"/>
      <c r="J70" s="2051"/>
      <c r="K70" s="2051"/>
      <c r="L70" s="2051"/>
      <c r="M70" s="2051"/>
      <c r="N70" s="2051"/>
      <c r="O70" s="2051"/>
      <c r="P70" s="2051"/>
      <c r="Q70" s="2051"/>
      <c r="R70" s="2051"/>
      <c r="S70" s="2051"/>
      <c r="T70" s="2051"/>
      <c r="U70" s="2051"/>
      <c r="V70" s="2051"/>
      <c r="W70" s="2052"/>
    </row>
    <row r="71" spans="1:28">
      <c r="C71" s="1003"/>
      <c r="D71" s="2189" t="s">
        <v>1235</v>
      </c>
      <c r="E71" s="2190"/>
      <c r="F71" s="2190"/>
      <c r="G71" s="2190"/>
      <c r="H71" s="2190"/>
      <c r="I71" s="2190"/>
      <c r="J71" s="2191"/>
      <c r="K71" s="2192" t="s">
        <v>1236</v>
      </c>
      <c r="L71" s="2193"/>
      <c r="M71" s="2193"/>
      <c r="N71" s="2193"/>
      <c r="O71" s="2193"/>
      <c r="P71" s="2193"/>
      <c r="Q71" s="2193"/>
      <c r="R71" s="2193"/>
      <c r="S71" s="2193"/>
      <c r="T71" s="2194"/>
      <c r="U71" s="2195" t="s">
        <v>1237</v>
      </c>
      <c r="V71" s="2196"/>
      <c r="W71" s="2197"/>
    </row>
    <row r="72" spans="1:28" ht="60">
      <c r="A72" s="880" t="s">
        <v>338</v>
      </c>
      <c r="C72" s="1505" t="s">
        <v>121</v>
      </c>
      <c r="D72" s="1806" t="s">
        <v>1238</v>
      </c>
      <c r="E72" s="1807" t="s">
        <v>1239</v>
      </c>
      <c r="F72" s="1808" t="s">
        <v>1240</v>
      </c>
      <c r="G72" s="1509" t="s">
        <v>1241</v>
      </c>
      <c r="H72" s="1510" t="s">
        <v>1239</v>
      </c>
      <c r="I72" s="1511" t="s">
        <v>1242</v>
      </c>
      <c r="J72" s="1512" t="s">
        <v>1243</v>
      </c>
      <c r="K72" s="1513" t="s">
        <v>1244</v>
      </c>
      <c r="L72" s="1514" t="s">
        <v>1245</v>
      </c>
      <c r="M72" s="1515" t="s">
        <v>1246</v>
      </c>
      <c r="N72" s="1516" t="s">
        <v>1247</v>
      </c>
      <c r="O72" s="1517" t="s">
        <v>1246</v>
      </c>
      <c r="P72" s="1518" t="s">
        <v>1248</v>
      </c>
      <c r="Q72" s="1519" t="s">
        <v>1249</v>
      </c>
      <c r="R72" s="745" t="s">
        <v>1250</v>
      </c>
      <c r="S72" s="1520" t="s">
        <v>1251</v>
      </c>
      <c r="T72" s="604" t="s">
        <v>1252</v>
      </c>
      <c r="U72" s="1521" t="s">
        <v>1253</v>
      </c>
      <c r="V72" s="665" t="s">
        <v>1254</v>
      </c>
      <c r="W72" s="665" t="s">
        <v>295</v>
      </c>
      <c r="X72" s="665" t="s">
        <v>1255</v>
      </c>
      <c r="Y72" s="665" t="s">
        <v>1256</v>
      </c>
      <c r="AB72" s="665"/>
    </row>
    <row r="73" spans="1:28">
      <c r="A73" t="s">
        <v>1258</v>
      </c>
      <c r="C73" s="1787">
        <v>45292</v>
      </c>
      <c r="D73" s="1539">
        <v>50246</v>
      </c>
      <c r="E73" s="1788">
        <v>1.0920000000000001</v>
      </c>
      <c r="F73" s="1789">
        <f>(D73*E73)/1000</f>
        <v>54.868632000000005</v>
      </c>
      <c r="G73" s="1526">
        <v>180000</v>
      </c>
      <c r="H73" s="1790">
        <v>0.05</v>
      </c>
      <c r="I73" s="1791">
        <f t="shared" ref="I73:I84" si="24">(G73*H73)/1000</f>
        <v>9</v>
      </c>
      <c r="J73" s="1792">
        <f t="shared" ref="J73:J84" si="25">(F73+I73)</f>
        <v>63.868632000000005</v>
      </c>
      <c r="K73" s="1530">
        <v>1454</v>
      </c>
      <c r="L73" s="1531">
        <v>1100</v>
      </c>
      <c r="M73" s="1532">
        <f>L73/148</f>
        <v>7.4324324324324325</v>
      </c>
      <c r="N73" s="1531">
        <v>7439</v>
      </c>
      <c r="O73" s="1532">
        <f>(N73*6.053)/1000</f>
        <v>45.028267</v>
      </c>
      <c r="P73" s="1533">
        <v>0</v>
      </c>
      <c r="Q73" s="1534">
        <f t="shared" ref="Q73:Q84" si="26">P73*10</f>
        <v>0</v>
      </c>
      <c r="R73" s="1535">
        <f>Q73+M73+K73+O73</f>
        <v>1506.4606994324324</v>
      </c>
      <c r="S73" s="1536"/>
      <c r="T73" s="1537">
        <f>S73+R73</f>
        <v>1506.4606994324324</v>
      </c>
      <c r="U73" s="1537">
        <f>T73+J73</f>
        <v>1570.3293314324324</v>
      </c>
      <c r="V73" s="475">
        <f>U73*1000</f>
        <v>1570329.3314324324</v>
      </c>
      <c r="W73" s="475">
        <f>'Production-Ciospi'!Y27</f>
        <v>167055.83333333334</v>
      </c>
      <c r="X73" s="1102">
        <f>V73/W73</f>
        <v>9.4000269257230311</v>
      </c>
      <c r="Y73" s="592">
        <f>V73/1000</f>
        <v>1570.3293314324324</v>
      </c>
    </row>
    <row r="74" spans="1:28">
      <c r="C74" s="1793">
        <v>45323</v>
      </c>
      <c r="D74" s="1539"/>
      <c r="E74" s="1540">
        <v>1.0920000000000001</v>
      </c>
      <c r="F74" s="1541">
        <f t="shared" ref="F74:F84" si="27">(D74*E74)/1000</f>
        <v>0</v>
      </c>
      <c r="G74" s="1542"/>
      <c r="H74" s="1543">
        <v>0.05</v>
      </c>
      <c r="I74" s="1239">
        <f t="shared" si="24"/>
        <v>0</v>
      </c>
      <c r="J74" s="1794">
        <f t="shared" si="25"/>
        <v>0</v>
      </c>
      <c r="K74" s="1803"/>
      <c r="L74" s="1546"/>
      <c r="M74" s="1547">
        <f t="shared" ref="M74:M78" si="28">L74/148</f>
        <v>0</v>
      </c>
      <c r="N74" s="1546"/>
      <c r="O74" s="1532">
        <f t="shared" ref="O74:O78" si="29">(N74*6.053)/1000</f>
        <v>0</v>
      </c>
      <c r="P74" s="1548"/>
      <c r="Q74" s="1304">
        <f t="shared" si="26"/>
        <v>0</v>
      </c>
      <c r="R74" s="1549">
        <f t="shared" ref="R74:R84" si="30">Q74+M74+K74+O74</f>
        <v>0</v>
      </c>
      <c r="S74" s="1550"/>
      <c r="T74" s="1551">
        <f t="shared" ref="T74:T84" si="31">S74+R74</f>
        <v>0</v>
      </c>
      <c r="U74" s="1551">
        <f t="shared" ref="U74:U84" si="32">T74+J74</f>
        <v>0</v>
      </c>
      <c r="V74" s="475">
        <f t="shared" ref="V74:V84" si="33">U74*1000</f>
        <v>0</v>
      </c>
      <c r="W74" s="475">
        <f>'Production-Ciospi'!Y28</f>
        <v>0</v>
      </c>
      <c r="X74" s="1102" t="e">
        <f t="shared" ref="X74:X84" si="34">V74/W74</f>
        <v>#DIV/0!</v>
      </c>
      <c r="Y74" s="592">
        <f t="shared" ref="Y74:Y84" si="35">V74/1000</f>
        <v>0</v>
      </c>
    </row>
    <row r="75" spans="1:28">
      <c r="C75" s="1793">
        <v>45352</v>
      </c>
      <c r="D75" s="1539"/>
      <c r="E75" s="1540">
        <v>1.0920000000000001</v>
      </c>
      <c r="F75" s="1541">
        <f t="shared" si="27"/>
        <v>0</v>
      </c>
      <c r="G75" s="1542"/>
      <c r="H75" s="1543">
        <v>0.05</v>
      </c>
      <c r="I75" s="1239">
        <f t="shared" si="24"/>
        <v>0</v>
      </c>
      <c r="J75" s="1794">
        <f t="shared" si="25"/>
        <v>0</v>
      </c>
      <c r="K75" s="1804"/>
      <c r="L75" s="1546"/>
      <c r="M75" s="1547">
        <f t="shared" si="28"/>
        <v>0</v>
      </c>
      <c r="N75" s="1546"/>
      <c r="O75" s="1532">
        <f t="shared" si="29"/>
        <v>0</v>
      </c>
      <c r="P75" s="1548"/>
      <c r="Q75" s="1304">
        <f t="shared" si="26"/>
        <v>0</v>
      </c>
      <c r="R75" s="1549">
        <f t="shared" si="30"/>
        <v>0</v>
      </c>
      <c r="S75" s="1550"/>
      <c r="T75" s="1551">
        <f t="shared" si="31"/>
        <v>0</v>
      </c>
      <c r="U75" s="1551">
        <f t="shared" si="32"/>
        <v>0</v>
      </c>
      <c r="V75" s="475">
        <f t="shared" si="33"/>
        <v>0</v>
      </c>
      <c r="W75" s="475">
        <f>'Production-Ciospi'!Y29</f>
        <v>0</v>
      </c>
      <c r="X75" s="1102" t="e">
        <f t="shared" si="34"/>
        <v>#DIV/0!</v>
      </c>
      <c r="Y75" s="592">
        <f t="shared" si="35"/>
        <v>0</v>
      </c>
    </row>
    <row r="76" spans="1:28">
      <c r="C76" s="1793">
        <v>45383</v>
      </c>
      <c r="D76" s="1539"/>
      <c r="E76" s="1540">
        <v>1.0920000000000001</v>
      </c>
      <c r="F76" s="1541">
        <f t="shared" si="27"/>
        <v>0</v>
      </c>
      <c r="G76" s="1542"/>
      <c r="H76" s="1543">
        <v>0.05</v>
      </c>
      <c r="I76" s="1239">
        <f t="shared" si="24"/>
        <v>0</v>
      </c>
      <c r="J76" s="1794">
        <f t="shared" si="25"/>
        <v>0</v>
      </c>
      <c r="K76" s="1804"/>
      <c r="L76" s="1546"/>
      <c r="M76" s="1547">
        <f t="shared" si="28"/>
        <v>0</v>
      </c>
      <c r="N76" s="1546"/>
      <c r="O76" s="1532">
        <f t="shared" si="29"/>
        <v>0</v>
      </c>
      <c r="P76" s="1548"/>
      <c r="Q76" s="1304">
        <f t="shared" si="26"/>
        <v>0</v>
      </c>
      <c r="R76" s="1549">
        <f t="shared" si="30"/>
        <v>0</v>
      </c>
      <c r="S76" s="1550"/>
      <c r="T76" s="1551">
        <f t="shared" si="31"/>
        <v>0</v>
      </c>
      <c r="U76" s="1551">
        <f t="shared" si="32"/>
        <v>0</v>
      </c>
      <c r="V76" s="475">
        <f t="shared" si="33"/>
        <v>0</v>
      </c>
      <c r="W76" s="475">
        <f>'Production-Ciospi'!Y30</f>
        <v>0</v>
      </c>
      <c r="X76" s="1102" t="e">
        <f t="shared" si="34"/>
        <v>#DIV/0!</v>
      </c>
      <c r="Y76" s="592">
        <f t="shared" si="35"/>
        <v>0</v>
      </c>
    </row>
    <row r="77" spans="1:28">
      <c r="C77" s="1793">
        <v>45413</v>
      </c>
      <c r="D77" s="1539"/>
      <c r="E77" s="1540">
        <v>1.0920000000000001</v>
      </c>
      <c r="F77" s="1541">
        <f t="shared" si="27"/>
        <v>0</v>
      </c>
      <c r="G77" s="1542"/>
      <c r="H77" s="1543">
        <v>0.05</v>
      </c>
      <c r="I77" s="1239">
        <f t="shared" si="24"/>
        <v>0</v>
      </c>
      <c r="J77" s="1794">
        <f t="shared" si="25"/>
        <v>0</v>
      </c>
      <c r="K77" s="1804"/>
      <c r="L77" s="1546"/>
      <c r="M77" s="1547">
        <f t="shared" si="28"/>
        <v>0</v>
      </c>
      <c r="N77" s="1546"/>
      <c r="O77" s="1532">
        <f t="shared" si="29"/>
        <v>0</v>
      </c>
      <c r="P77" s="1548"/>
      <c r="Q77" s="1304">
        <f t="shared" si="26"/>
        <v>0</v>
      </c>
      <c r="R77" s="1549">
        <f t="shared" si="30"/>
        <v>0</v>
      </c>
      <c r="S77" s="1550"/>
      <c r="T77" s="1551">
        <f t="shared" si="31"/>
        <v>0</v>
      </c>
      <c r="U77" s="1551">
        <f t="shared" si="32"/>
        <v>0</v>
      </c>
      <c r="V77" s="475">
        <f t="shared" si="33"/>
        <v>0</v>
      </c>
      <c r="W77" s="475">
        <f>'Production-Ciospi'!Y31</f>
        <v>0</v>
      </c>
      <c r="X77" s="1102" t="e">
        <f t="shared" si="34"/>
        <v>#DIV/0!</v>
      </c>
      <c r="Y77" s="592">
        <f t="shared" si="35"/>
        <v>0</v>
      </c>
    </row>
    <row r="78" spans="1:28">
      <c r="C78" s="1795">
        <v>45444</v>
      </c>
      <c r="D78" s="1796"/>
      <c r="E78" s="1797">
        <v>1.0920000000000001</v>
      </c>
      <c r="F78" s="1798">
        <f t="shared" si="27"/>
        <v>0</v>
      </c>
      <c r="G78" s="1799"/>
      <c r="H78" s="1800">
        <v>0.05</v>
      </c>
      <c r="I78" s="1801">
        <f t="shared" si="24"/>
        <v>0</v>
      </c>
      <c r="J78" s="1802">
        <f t="shared" si="25"/>
        <v>0</v>
      </c>
      <c r="K78" s="1805"/>
      <c r="L78" s="1561"/>
      <c r="M78" s="1562">
        <f t="shared" si="28"/>
        <v>0</v>
      </c>
      <c r="N78" s="1561"/>
      <c r="O78" s="1562">
        <f t="shared" si="29"/>
        <v>0</v>
      </c>
      <c r="P78" s="1563"/>
      <c r="Q78" s="1308">
        <f t="shared" si="26"/>
        <v>0</v>
      </c>
      <c r="R78" s="1564">
        <f t="shared" si="30"/>
        <v>0</v>
      </c>
      <c r="S78" s="1565"/>
      <c r="T78" s="1566">
        <f t="shared" si="31"/>
        <v>0</v>
      </c>
      <c r="U78" s="1566">
        <f t="shared" si="32"/>
        <v>0</v>
      </c>
      <c r="V78" s="475">
        <f t="shared" si="33"/>
        <v>0</v>
      </c>
      <c r="W78" s="475">
        <f>'Production-Ciospi'!Y32</f>
        <v>0</v>
      </c>
      <c r="X78" s="1102" t="e">
        <f t="shared" si="34"/>
        <v>#DIV/0!</v>
      </c>
      <c r="Y78" s="592">
        <f t="shared" si="35"/>
        <v>0</v>
      </c>
    </row>
    <row r="79" spans="1:28">
      <c r="C79" s="1669">
        <v>45474</v>
      </c>
      <c r="D79" s="1809"/>
      <c r="E79" s="1810">
        <v>1.0920000000000001</v>
      </c>
      <c r="F79" s="1811">
        <f t="shared" si="27"/>
        <v>0</v>
      </c>
      <c r="G79" s="1812"/>
      <c r="H79" s="1813">
        <v>0.05</v>
      </c>
      <c r="I79" s="1042">
        <f t="shared" si="24"/>
        <v>0</v>
      </c>
      <c r="J79" s="1569">
        <f t="shared" si="25"/>
        <v>0</v>
      </c>
      <c r="K79" s="1530"/>
      <c r="L79" s="1531"/>
      <c r="M79" s="1532">
        <f>L79/148</f>
        <v>0</v>
      </c>
      <c r="N79" s="1531"/>
      <c r="O79" s="1532">
        <f>(N79*6.053)/1000</f>
        <v>0</v>
      </c>
      <c r="P79" s="1533"/>
      <c r="Q79" s="1534">
        <f t="shared" si="26"/>
        <v>0</v>
      </c>
      <c r="R79" s="1570">
        <f t="shared" si="30"/>
        <v>0</v>
      </c>
      <c r="S79" s="1571"/>
      <c r="T79" s="1572">
        <f t="shared" si="31"/>
        <v>0</v>
      </c>
      <c r="U79" s="1572">
        <f t="shared" si="32"/>
        <v>0</v>
      </c>
      <c r="V79" s="475">
        <f t="shared" si="33"/>
        <v>0</v>
      </c>
      <c r="W79" s="475">
        <f>'Production-Ciospi'!Y33</f>
        <v>0</v>
      </c>
      <c r="X79" s="1102" t="e">
        <f t="shared" si="34"/>
        <v>#DIV/0!</v>
      </c>
      <c r="Y79" s="592">
        <f t="shared" si="35"/>
        <v>0</v>
      </c>
    </row>
    <row r="80" spans="1:28">
      <c r="C80" s="1538">
        <v>45505</v>
      </c>
      <c r="D80" s="1539"/>
      <c r="E80" s="1540">
        <v>1.0920000000000001</v>
      </c>
      <c r="F80" s="1573">
        <f t="shared" si="27"/>
        <v>0</v>
      </c>
      <c r="G80" s="1542"/>
      <c r="H80" s="1543">
        <v>0.05</v>
      </c>
      <c r="I80" s="1574">
        <f t="shared" si="24"/>
        <v>0</v>
      </c>
      <c r="J80" s="1575">
        <f t="shared" si="25"/>
        <v>0</v>
      </c>
      <c r="K80" s="1552"/>
      <c r="L80" s="1546"/>
      <c r="M80" s="1547">
        <f t="shared" ref="M80:M84" si="36">L80/148</f>
        <v>0</v>
      </c>
      <c r="N80" s="1576"/>
      <c r="O80" s="1532">
        <f t="shared" ref="O80:O84" si="37">(N80*6.053)/1000</f>
        <v>0</v>
      </c>
      <c r="P80" s="1548"/>
      <c r="Q80" s="1304">
        <f t="shared" si="26"/>
        <v>0</v>
      </c>
      <c r="R80" s="1549">
        <f t="shared" si="30"/>
        <v>0</v>
      </c>
      <c r="S80" s="1550"/>
      <c r="T80" s="1551">
        <f t="shared" si="31"/>
        <v>0</v>
      </c>
      <c r="U80" s="1551">
        <f t="shared" si="32"/>
        <v>0</v>
      </c>
      <c r="V80" s="475">
        <f t="shared" si="33"/>
        <v>0</v>
      </c>
      <c r="W80" s="475">
        <f>'Production-Ciospi'!Y34</f>
        <v>0</v>
      </c>
      <c r="X80" s="1102" t="e">
        <f t="shared" si="34"/>
        <v>#DIV/0!</v>
      </c>
      <c r="Y80" s="592">
        <f t="shared" si="35"/>
        <v>0</v>
      </c>
    </row>
    <row r="81" spans="3:28">
      <c r="C81" s="1538">
        <v>45536</v>
      </c>
      <c r="D81" s="1539"/>
      <c r="E81" s="1540">
        <v>1.0920000000000001</v>
      </c>
      <c r="F81" s="1573">
        <f t="shared" si="27"/>
        <v>0</v>
      </c>
      <c r="G81" s="1552"/>
      <c r="H81" s="1543">
        <v>0.05</v>
      </c>
      <c r="I81" s="1574">
        <f t="shared" si="24"/>
        <v>0</v>
      </c>
      <c r="J81" s="1575">
        <f t="shared" si="25"/>
        <v>0</v>
      </c>
      <c r="K81" s="1552"/>
      <c r="L81" s="1546"/>
      <c r="M81" s="1547">
        <f t="shared" si="36"/>
        <v>0</v>
      </c>
      <c r="N81" s="1576"/>
      <c r="O81" s="1532">
        <f t="shared" si="37"/>
        <v>0</v>
      </c>
      <c r="P81" s="1548"/>
      <c r="Q81" s="1304">
        <f t="shared" si="26"/>
        <v>0</v>
      </c>
      <c r="R81" s="1549">
        <f t="shared" si="30"/>
        <v>0</v>
      </c>
      <c r="S81" s="1550"/>
      <c r="T81" s="1551">
        <f t="shared" si="31"/>
        <v>0</v>
      </c>
      <c r="U81" s="1551">
        <f t="shared" si="32"/>
        <v>0</v>
      </c>
      <c r="V81" s="475">
        <f t="shared" si="33"/>
        <v>0</v>
      </c>
      <c r="W81" s="475">
        <f>'Production-Ciospi'!Y35</f>
        <v>0</v>
      </c>
      <c r="X81" s="1102" t="e">
        <f t="shared" si="34"/>
        <v>#DIV/0!</v>
      </c>
      <c r="Y81" s="592">
        <f t="shared" si="35"/>
        <v>0</v>
      </c>
    </row>
    <row r="82" spans="3:28">
      <c r="C82" s="1538">
        <v>45566</v>
      </c>
      <c r="D82" s="1539"/>
      <c r="E82" s="1540">
        <v>1.0920000000000001</v>
      </c>
      <c r="F82" s="1573">
        <f t="shared" si="27"/>
        <v>0</v>
      </c>
      <c r="G82" s="1552"/>
      <c r="H82" s="1543">
        <v>0.05</v>
      </c>
      <c r="I82" s="1574">
        <f t="shared" si="24"/>
        <v>0</v>
      </c>
      <c r="J82" s="1575">
        <f t="shared" si="25"/>
        <v>0</v>
      </c>
      <c r="K82" s="1552"/>
      <c r="L82" s="1546"/>
      <c r="M82" s="1547">
        <f t="shared" si="36"/>
        <v>0</v>
      </c>
      <c r="N82" s="1576"/>
      <c r="O82" s="1532">
        <f t="shared" si="37"/>
        <v>0</v>
      </c>
      <c r="P82" s="1548"/>
      <c r="Q82" s="1304">
        <f t="shared" si="26"/>
        <v>0</v>
      </c>
      <c r="R82" s="1549">
        <f t="shared" si="30"/>
        <v>0</v>
      </c>
      <c r="S82" s="1550"/>
      <c r="T82" s="1551">
        <f t="shared" si="31"/>
        <v>0</v>
      </c>
      <c r="U82" s="1551">
        <f t="shared" si="32"/>
        <v>0</v>
      </c>
      <c r="V82" s="475">
        <f t="shared" si="33"/>
        <v>0</v>
      </c>
      <c r="W82" s="475">
        <f>'Production-Ciospi'!Y36</f>
        <v>0</v>
      </c>
      <c r="X82" s="1102" t="e">
        <f t="shared" si="34"/>
        <v>#DIV/0!</v>
      </c>
      <c r="Y82" s="592">
        <f t="shared" si="35"/>
        <v>0</v>
      </c>
    </row>
    <row r="83" spans="3:28">
      <c r="C83" s="1538">
        <v>45597</v>
      </c>
      <c r="D83" s="1539"/>
      <c r="E83" s="1540">
        <v>1.0920000000000001</v>
      </c>
      <c r="F83" s="1573">
        <f t="shared" si="27"/>
        <v>0</v>
      </c>
      <c r="G83" s="1552"/>
      <c r="H83" s="1543">
        <v>0.05</v>
      </c>
      <c r="I83" s="1574">
        <f t="shared" si="24"/>
        <v>0</v>
      </c>
      <c r="J83" s="1575">
        <f t="shared" si="25"/>
        <v>0</v>
      </c>
      <c r="K83" s="1552"/>
      <c r="L83" s="1546"/>
      <c r="M83" s="1547">
        <f t="shared" si="36"/>
        <v>0</v>
      </c>
      <c r="N83" s="1576"/>
      <c r="O83" s="1532">
        <f t="shared" si="37"/>
        <v>0</v>
      </c>
      <c r="P83" s="1548"/>
      <c r="Q83" s="1304">
        <f t="shared" si="26"/>
        <v>0</v>
      </c>
      <c r="R83" s="1549">
        <f t="shared" si="30"/>
        <v>0</v>
      </c>
      <c r="S83" s="1550"/>
      <c r="T83" s="1551">
        <f t="shared" si="31"/>
        <v>0</v>
      </c>
      <c r="U83" s="1551">
        <f t="shared" si="32"/>
        <v>0</v>
      </c>
      <c r="V83" s="475">
        <f t="shared" si="33"/>
        <v>0</v>
      </c>
      <c r="W83" s="475">
        <f>'Production-Ciospi'!Y37</f>
        <v>0</v>
      </c>
      <c r="X83" s="1102" t="e">
        <f t="shared" si="34"/>
        <v>#DIV/0!</v>
      </c>
      <c r="Y83" s="592">
        <f t="shared" si="35"/>
        <v>0</v>
      </c>
    </row>
    <row r="84" spans="3:28">
      <c r="C84" s="1577">
        <v>45627</v>
      </c>
      <c r="D84" s="1553"/>
      <c r="E84" s="1554">
        <v>1.0920000000000001</v>
      </c>
      <c r="F84" s="1578">
        <f t="shared" si="27"/>
        <v>0</v>
      </c>
      <c r="G84" s="1560"/>
      <c r="H84" s="1579">
        <v>0.05</v>
      </c>
      <c r="I84" s="1580">
        <f t="shared" si="24"/>
        <v>0</v>
      </c>
      <c r="J84" s="1581">
        <f t="shared" si="25"/>
        <v>0</v>
      </c>
      <c r="K84" s="1560"/>
      <c r="L84" s="1561"/>
      <c r="M84" s="1562">
        <f t="shared" si="36"/>
        <v>0</v>
      </c>
      <c r="N84" s="1582"/>
      <c r="O84" s="1562">
        <f t="shared" si="37"/>
        <v>0</v>
      </c>
      <c r="P84" s="1563"/>
      <c r="Q84" s="1308">
        <f t="shared" si="26"/>
        <v>0</v>
      </c>
      <c r="R84" s="1564">
        <f t="shared" si="30"/>
        <v>0</v>
      </c>
      <c r="S84" s="1565"/>
      <c r="T84" s="1566">
        <f t="shared" si="31"/>
        <v>0</v>
      </c>
      <c r="U84" s="1583">
        <f t="shared" si="32"/>
        <v>0</v>
      </c>
      <c r="V84" s="475">
        <f t="shared" si="33"/>
        <v>0</v>
      </c>
      <c r="W84" s="475">
        <f>'Production-Ciospi'!Y38</f>
        <v>0</v>
      </c>
      <c r="X84" s="1102" t="e">
        <f t="shared" si="34"/>
        <v>#DIV/0!</v>
      </c>
      <c r="Y84" s="592">
        <f t="shared" si="35"/>
        <v>0</v>
      </c>
    </row>
    <row r="85" spans="3:28">
      <c r="E85" s="1584"/>
      <c r="U85" s="1585">
        <f>SUM(U73:U84)</f>
        <v>1570.3293314324324</v>
      </c>
      <c r="V85" s="828">
        <f>SUM(V73:V84)</f>
        <v>1570329.3314324324</v>
      </c>
      <c r="W85" s="828">
        <f>SUM(W73:W84)</f>
        <v>167055.83333333334</v>
      </c>
      <c r="X85" s="1586">
        <f>V85/W85</f>
        <v>9.4000269257230311</v>
      </c>
      <c r="Y85" s="1587"/>
    </row>
    <row r="86" spans="3:28" ht="15.75" thickBot="1"/>
    <row r="87" spans="3:28" ht="30.75" thickBot="1">
      <c r="C87" s="2198" t="s">
        <v>1261</v>
      </c>
      <c r="D87" s="2199"/>
      <c r="E87" s="2199"/>
      <c r="F87" s="2199"/>
      <c r="G87" s="2200"/>
      <c r="H87" s="2200"/>
      <c r="I87" s="2200"/>
      <c r="J87" s="2200"/>
      <c r="K87" s="2200"/>
      <c r="L87" s="2199"/>
      <c r="M87" s="2199"/>
      <c r="N87" s="2199"/>
      <c r="O87" s="2199"/>
      <c r="P87" s="2199"/>
      <c r="Q87" s="2199"/>
      <c r="R87" s="2201"/>
      <c r="S87" s="1588"/>
      <c r="T87" s="1588"/>
      <c r="U87" s="1588"/>
      <c r="V87" s="1588"/>
      <c r="W87" s="1003"/>
      <c r="X87" s="1589" t="s">
        <v>1262</v>
      </c>
      <c r="Y87" s="1589"/>
      <c r="Z87" s="1589" t="s">
        <v>1263</v>
      </c>
      <c r="AA87" s="1589" t="s">
        <v>1264</v>
      </c>
      <c r="AB87" s="1590" t="s">
        <v>1265</v>
      </c>
    </row>
    <row r="88" spans="3:28" ht="45.75" thickBot="1">
      <c r="C88" s="1591" t="s">
        <v>121</v>
      </c>
      <c r="D88" s="1592" t="s">
        <v>1266</v>
      </c>
      <c r="E88" s="1593" t="s">
        <v>1239</v>
      </c>
      <c r="F88" s="1594" t="s">
        <v>1267</v>
      </c>
      <c r="G88" s="1595" t="s">
        <v>1268</v>
      </c>
      <c r="H88" s="1596" t="s">
        <v>1239</v>
      </c>
      <c r="I88" s="1596" t="s">
        <v>1269</v>
      </c>
      <c r="J88" s="1596" t="s">
        <v>1239</v>
      </c>
      <c r="K88" s="1597" t="s">
        <v>1270</v>
      </c>
      <c r="L88" s="1598" t="s">
        <v>1271</v>
      </c>
      <c r="M88" s="1599" t="s">
        <v>1239</v>
      </c>
      <c r="N88" s="1600" t="s">
        <v>1272</v>
      </c>
      <c r="O88" s="1601" t="s">
        <v>1273</v>
      </c>
      <c r="P88" s="1602" t="s">
        <v>1239</v>
      </c>
      <c r="Q88" s="1603" t="s">
        <v>1274</v>
      </c>
      <c r="R88" s="1604" t="s">
        <v>1275</v>
      </c>
      <c r="X88" s="610" t="s">
        <v>1276</v>
      </c>
      <c r="Y88" s="610"/>
      <c r="Z88" s="610" t="s">
        <v>1277</v>
      </c>
      <c r="AA88" s="1605" t="s">
        <v>1278</v>
      </c>
      <c r="AB88" s="651">
        <v>63.8</v>
      </c>
    </row>
    <row r="89" spans="3:28">
      <c r="C89" s="1606">
        <v>45292</v>
      </c>
      <c r="D89" s="1607">
        <v>246532</v>
      </c>
      <c r="E89" s="1608">
        <v>6.38</v>
      </c>
      <c r="F89" s="1609">
        <f t="shared" ref="F89:F96" si="38">(D89*E89)/1000</f>
        <v>1572.8741599999998</v>
      </c>
      <c r="G89" s="1610">
        <v>366960</v>
      </c>
      <c r="H89" s="1611">
        <v>2.58</v>
      </c>
      <c r="I89" s="1611">
        <v>0</v>
      </c>
      <c r="J89" s="1612">
        <v>525</v>
      </c>
      <c r="K89" s="1613">
        <f>(G89*H89)/1000+(I89*J89)/1000</f>
        <v>946.7568</v>
      </c>
      <c r="L89" s="1614">
        <v>174432</v>
      </c>
      <c r="M89" s="1615">
        <v>5.74</v>
      </c>
      <c r="N89" s="1616">
        <f t="shared" ref="N89:N100" si="39">(L89*M89)/1000</f>
        <v>1001.23968</v>
      </c>
      <c r="O89" s="1614">
        <v>1889744</v>
      </c>
      <c r="P89" s="1617">
        <v>0.104</v>
      </c>
      <c r="Q89" s="1618">
        <f t="shared" ref="Q89:Q100" si="40">(O89*P89)/1000</f>
        <v>196.53337599999998</v>
      </c>
      <c r="R89" s="1619">
        <f t="shared" ref="R89:R100" si="41">Q89+N89+K89+F89</f>
        <v>3717.404016</v>
      </c>
      <c r="X89" s="610" t="s">
        <v>1279</v>
      </c>
      <c r="Y89" s="610"/>
      <c r="Z89" s="610" t="s">
        <v>1280</v>
      </c>
      <c r="AA89" s="1605" t="s">
        <v>1281</v>
      </c>
      <c r="AB89" s="651">
        <f>27.2+24.5</f>
        <v>51.7</v>
      </c>
    </row>
    <row r="90" spans="3:28">
      <c r="C90" s="1620">
        <v>45323</v>
      </c>
      <c r="D90" s="788"/>
      <c r="E90" s="610">
        <v>6.38</v>
      </c>
      <c r="F90" s="1621">
        <f t="shared" si="38"/>
        <v>0</v>
      </c>
      <c r="G90" s="1622"/>
      <c r="H90" s="1623">
        <v>2.58</v>
      </c>
      <c r="I90" s="1611"/>
      <c r="J90" s="1624">
        <v>525</v>
      </c>
      <c r="K90" s="1613">
        <f>(G90*H90)/1000+(I90*J90)/1000</f>
        <v>0</v>
      </c>
      <c r="L90" s="1622"/>
      <c r="M90" s="1623">
        <v>5.74</v>
      </c>
      <c r="N90" s="1625">
        <f t="shared" si="39"/>
        <v>0</v>
      </c>
      <c r="O90" s="1622"/>
      <c r="P90" s="1626">
        <v>0.104</v>
      </c>
      <c r="Q90" s="1627">
        <f t="shared" si="40"/>
        <v>0</v>
      </c>
      <c r="R90" s="1628">
        <f t="shared" si="41"/>
        <v>0</v>
      </c>
      <c r="X90" s="610" t="s">
        <v>1269</v>
      </c>
      <c r="Y90" s="610"/>
      <c r="Z90" s="610"/>
      <c r="AA90" s="1605" t="s">
        <v>1282</v>
      </c>
      <c r="AB90" s="651">
        <v>525</v>
      </c>
    </row>
    <row r="91" spans="3:28">
      <c r="C91" s="1620">
        <v>45352</v>
      </c>
      <c r="D91" s="788"/>
      <c r="E91" s="610">
        <v>6.38</v>
      </c>
      <c r="F91" s="1621">
        <f t="shared" si="38"/>
        <v>0</v>
      </c>
      <c r="G91" s="1622"/>
      <c r="H91" s="1623">
        <v>2.58</v>
      </c>
      <c r="I91" s="1611"/>
      <c r="J91" s="1624">
        <v>525</v>
      </c>
      <c r="K91" s="1613">
        <f t="shared" ref="K91:K93" si="42">(G91*H91)/1000+(I91*J91)/1000</f>
        <v>0</v>
      </c>
      <c r="L91" s="1622"/>
      <c r="M91" s="1623">
        <v>5.74</v>
      </c>
      <c r="N91" s="1625">
        <f t="shared" si="39"/>
        <v>0</v>
      </c>
      <c r="O91" s="1622"/>
      <c r="P91" s="1626">
        <v>0.104</v>
      </c>
      <c r="Q91" s="1627">
        <f t="shared" si="40"/>
        <v>0</v>
      </c>
      <c r="R91" s="1628">
        <f t="shared" si="41"/>
        <v>0</v>
      </c>
      <c r="X91" s="610" t="s">
        <v>1283</v>
      </c>
      <c r="Y91" s="610"/>
      <c r="Z91" s="610" t="s">
        <v>51</v>
      </c>
      <c r="AA91" s="1605" t="s">
        <v>1284</v>
      </c>
      <c r="AB91" s="651">
        <f>36.8+48.5+8.4+21.1</f>
        <v>114.80000000000001</v>
      </c>
    </row>
    <row r="92" spans="3:28">
      <c r="C92" s="1620">
        <v>45383</v>
      </c>
      <c r="D92" s="788"/>
      <c r="E92" s="610">
        <v>6.38</v>
      </c>
      <c r="F92" s="1621">
        <f t="shared" si="38"/>
        <v>0</v>
      </c>
      <c r="G92" s="1622"/>
      <c r="H92" s="1623">
        <v>2.58</v>
      </c>
      <c r="I92" s="1611"/>
      <c r="J92" s="1624">
        <v>525</v>
      </c>
      <c r="K92" s="1613">
        <f t="shared" si="42"/>
        <v>0</v>
      </c>
      <c r="L92" s="1622"/>
      <c r="M92" s="1623">
        <v>5.74</v>
      </c>
      <c r="N92" s="1625">
        <f t="shared" si="39"/>
        <v>0</v>
      </c>
      <c r="O92" s="1622"/>
      <c r="P92" s="1626">
        <v>0.104</v>
      </c>
      <c r="Q92" s="1627">
        <f t="shared" si="40"/>
        <v>0</v>
      </c>
      <c r="R92" s="1628">
        <f t="shared" si="41"/>
        <v>0</v>
      </c>
      <c r="X92" s="610" t="s">
        <v>1285</v>
      </c>
      <c r="Y92" s="610"/>
      <c r="Z92" s="610" t="s">
        <v>51</v>
      </c>
      <c r="AA92" s="1605" t="s">
        <v>1286</v>
      </c>
      <c r="AB92" s="651">
        <f>1.229+0.853+1.025</f>
        <v>3.1069999999999998</v>
      </c>
    </row>
    <row r="93" spans="3:28">
      <c r="C93" s="1620">
        <v>45413</v>
      </c>
      <c r="D93" s="788"/>
      <c r="E93" s="610">
        <v>6.38</v>
      </c>
      <c r="F93" s="1621">
        <f t="shared" si="38"/>
        <v>0</v>
      </c>
      <c r="G93" s="1622"/>
      <c r="H93" s="1623">
        <v>2.58</v>
      </c>
      <c r="I93" s="1611"/>
      <c r="J93" s="1624">
        <v>525</v>
      </c>
      <c r="K93" s="1613">
        <f t="shared" si="42"/>
        <v>0</v>
      </c>
      <c r="L93" s="1622"/>
      <c r="M93" s="1623">
        <v>5.74</v>
      </c>
      <c r="N93" s="1625">
        <f t="shared" si="39"/>
        <v>0</v>
      </c>
      <c r="O93" s="1622"/>
      <c r="P93" s="1626">
        <v>0.104</v>
      </c>
      <c r="Q93" s="1627">
        <f t="shared" si="40"/>
        <v>0</v>
      </c>
      <c r="R93" s="1628">
        <f t="shared" si="41"/>
        <v>0</v>
      </c>
      <c r="X93" s="610" t="s">
        <v>1287</v>
      </c>
      <c r="Y93" s="610"/>
      <c r="Z93" s="610" t="s">
        <v>51</v>
      </c>
      <c r="AA93" s="1605" t="s">
        <v>1288</v>
      </c>
      <c r="AB93" s="651">
        <f>11.58+16.57+5.1</f>
        <v>33.25</v>
      </c>
    </row>
    <row r="94" spans="3:28" ht="15.75" thickBot="1">
      <c r="C94" s="1629">
        <v>45444</v>
      </c>
      <c r="D94" s="1630"/>
      <c r="E94" s="1347">
        <v>6.38</v>
      </c>
      <c r="F94" s="1631">
        <f t="shared" si="38"/>
        <v>0</v>
      </c>
      <c r="G94" s="1632"/>
      <c r="H94" s="1633">
        <v>2.58</v>
      </c>
      <c r="I94" s="1634"/>
      <c r="J94" s="1635">
        <v>525</v>
      </c>
      <c r="K94" s="1636">
        <f>(G94*H94)/1000+(I94*J94)/1000</f>
        <v>0</v>
      </c>
      <c r="L94" s="1637"/>
      <c r="M94" s="1638">
        <v>5.74</v>
      </c>
      <c r="N94" s="1639">
        <f t="shared" si="39"/>
        <v>0</v>
      </c>
      <c r="O94" s="1637"/>
      <c r="P94" s="1640">
        <v>0.104</v>
      </c>
      <c r="Q94" s="1641">
        <f t="shared" si="40"/>
        <v>0</v>
      </c>
      <c r="R94" s="1642">
        <f t="shared" si="41"/>
        <v>0</v>
      </c>
    </row>
    <row r="95" spans="3:28">
      <c r="C95" s="1643">
        <v>45474</v>
      </c>
      <c r="D95" s="776"/>
      <c r="E95" s="647">
        <v>6.38</v>
      </c>
      <c r="F95" s="1644">
        <f t="shared" si="38"/>
        <v>0</v>
      </c>
      <c r="G95" s="1614"/>
      <c r="H95" s="1645">
        <v>2.58</v>
      </c>
      <c r="I95" s="1646"/>
      <c r="J95" s="1612">
        <v>525</v>
      </c>
      <c r="K95" s="1616">
        <f>(G95*H95)/1000+(I95*J95)/1000</f>
        <v>0</v>
      </c>
      <c r="L95" s="1647"/>
      <c r="M95" s="1648">
        <v>5.74</v>
      </c>
      <c r="N95" s="1625">
        <f t="shared" si="39"/>
        <v>0</v>
      </c>
      <c r="O95" s="1610"/>
      <c r="P95" s="1649">
        <v>0.104</v>
      </c>
      <c r="Q95" s="1627">
        <f t="shared" si="40"/>
        <v>0</v>
      </c>
      <c r="R95" s="1650">
        <f t="shared" si="41"/>
        <v>0</v>
      </c>
    </row>
    <row r="96" spans="3:28">
      <c r="C96" s="1620">
        <v>45505</v>
      </c>
      <c r="D96" s="788"/>
      <c r="E96" s="610">
        <v>6.38</v>
      </c>
      <c r="F96" s="1644">
        <f t="shared" si="38"/>
        <v>0</v>
      </c>
      <c r="G96" s="1622"/>
      <c r="H96" s="1651">
        <v>2.58</v>
      </c>
      <c r="I96" s="1652"/>
      <c r="J96" s="1624">
        <v>525</v>
      </c>
      <c r="K96" s="1653">
        <f>(G96*H96)/1000+(I96*J96)/1000</f>
        <v>0</v>
      </c>
      <c r="L96" s="1654"/>
      <c r="M96" s="1651">
        <v>5.74</v>
      </c>
      <c r="N96" s="1625">
        <f t="shared" si="39"/>
        <v>0</v>
      </c>
      <c r="O96" s="1622"/>
      <c r="P96" s="1655">
        <v>0.104</v>
      </c>
      <c r="Q96" s="1627">
        <f t="shared" si="40"/>
        <v>0</v>
      </c>
      <c r="R96" s="1628">
        <f t="shared" si="41"/>
        <v>0</v>
      </c>
    </row>
    <row r="97" spans="3:18">
      <c r="C97" s="1620">
        <v>45536</v>
      </c>
      <c r="D97" s="1622"/>
      <c r="E97" s="610">
        <v>6.38</v>
      </c>
      <c r="F97" s="1644">
        <f>D97*E97/1000</f>
        <v>0</v>
      </c>
      <c r="G97" s="1622"/>
      <c r="H97" s="1651">
        <v>2.58</v>
      </c>
      <c r="I97" s="1651"/>
      <c r="J97" s="1624">
        <v>525</v>
      </c>
      <c r="K97" s="1653">
        <f t="shared" ref="K97:K99" si="43">(G97*H97)/1000+(I97*J97)/1000</f>
        <v>0</v>
      </c>
      <c r="L97" s="1654"/>
      <c r="M97" s="1651">
        <v>5.74</v>
      </c>
      <c r="N97" s="1625">
        <f t="shared" si="39"/>
        <v>0</v>
      </c>
      <c r="O97" s="1622"/>
      <c r="P97" s="1655">
        <v>0.104</v>
      </c>
      <c r="Q97" s="1627">
        <f t="shared" si="40"/>
        <v>0</v>
      </c>
      <c r="R97" s="1628">
        <f t="shared" si="41"/>
        <v>0</v>
      </c>
    </row>
    <row r="98" spans="3:18">
      <c r="C98" s="1620">
        <v>45566</v>
      </c>
      <c r="D98" s="1622"/>
      <c r="E98" s="610">
        <v>6.38</v>
      </c>
      <c r="F98" s="1644">
        <f t="shared" ref="F98:F100" si="44">D98*E98/1000</f>
        <v>0</v>
      </c>
      <c r="G98" s="1622"/>
      <c r="H98" s="1651">
        <v>2.58</v>
      </c>
      <c r="I98" s="1651"/>
      <c r="J98" s="1624">
        <v>525</v>
      </c>
      <c r="K98" s="1653">
        <f t="shared" si="43"/>
        <v>0</v>
      </c>
      <c r="L98" s="1654"/>
      <c r="M98" s="1651">
        <v>5.74</v>
      </c>
      <c r="N98" s="1625">
        <f t="shared" si="39"/>
        <v>0</v>
      </c>
      <c r="O98" s="1622"/>
      <c r="P98" s="1655">
        <v>0.104</v>
      </c>
      <c r="Q98" s="1627">
        <f t="shared" si="40"/>
        <v>0</v>
      </c>
      <c r="R98" s="1628">
        <f t="shared" si="41"/>
        <v>0</v>
      </c>
    </row>
    <row r="99" spans="3:18">
      <c r="C99" s="1620">
        <v>45597</v>
      </c>
      <c r="D99" s="1622"/>
      <c r="E99" s="610">
        <v>6.38</v>
      </c>
      <c r="F99" s="1644">
        <f t="shared" si="44"/>
        <v>0</v>
      </c>
      <c r="G99" s="1622"/>
      <c r="H99" s="1651">
        <v>2.58</v>
      </c>
      <c r="I99" s="1651"/>
      <c r="J99" s="1624">
        <v>525</v>
      </c>
      <c r="K99" s="1653">
        <f t="shared" si="43"/>
        <v>0</v>
      </c>
      <c r="L99" s="1654"/>
      <c r="M99" s="1651">
        <v>5.74</v>
      </c>
      <c r="N99" s="1625">
        <f t="shared" si="39"/>
        <v>0</v>
      </c>
      <c r="O99" s="1622"/>
      <c r="P99" s="1655">
        <v>0.104</v>
      </c>
      <c r="Q99" s="1627">
        <f t="shared" si="40"/>
        <v>0</v>
      </c>
      <c r="R99" s="1628">
        <f t="shared" si="41"/>
        <v>0</v>
      </c>
    </row>
    <row r="100" spans="3:18" ht="15.75" thickBot="1">
      <c r="C100" s="1629">
        <v>45627</v>
      </c>
      <c r="D100" s="1637"/>
      <c r="E100" s="1347">
        <v>6.38</v>
      </c>
      <c r="F100" s="1656">
        <f t="shared" si="44"/>
        <v>0</v>
      </c>
      <c r="G100" s="1637"/>
      <c r="H100" s="1657">
        <v>2.58</v>
      </c>
      <c r="I100" s="1657"/>
      <c r="J100" s="1635">
        <v>525</v>
      </c>
      <c r="K100" s="1658">
        <f>(G100*H100)/1000+(I100*J100)/1000</f>
        <v>0</v>
      </c>
      <c r="L100" s="1659"/>
      <c r="M100" s="1657">
        <v>5.74</v>
      </c>
      <c r="N100" s="1639">
        <f t="shared" si="39"/>
        <v>0</v>
      </c>
      <c r="O100" s="1637"/>
      <c r="P100" s="1660">
        <v>0.104</v>
      </c>
      <c r="Q100" s="1641">
        <f t="shared" si="40"/>
        <v>0</v>
      </c>
      <c r="R100" s="1642">
        <f t="shared" si="41"/>
        <v>0</v>
      </c>
    </row>
    <row r="102" spans="3:18" ht="15.75" thickBot="1"/>
    <row r="103" spans="3:18" ht="15.75" thickBot="1">
      <c r="C103" s="2202" t="s">
        <v>1289</v>
      </c>
      <c r="D103" s="2203"/>
      <c r="E103" s="2203"/>
      <c r="F103" s="2204"/>
    </row>
    <row r="104" spans="3:18" ht="45.75" thickBot="1">
      <c r="C104" s="1661" t="s">
        <v>121</v>
      </c>
      <c r="D104" s="1662" t="s">
        <v>1290</v>
      </c>
      <c r="E104" s="1662" t="s">
        <v>1291</v>
      </c>
      <c r="F104" s="1663" t="s">
        <v>1292</v>
      </c>
      <c r="H104" s="2205" t="s">
        <v>1293</v>
      </c>
      <c r="I104" s="2206"/>
      <c r="J104" s="2206"/>
      <c r="K104" s="2207"/>
      <c r="L104" s="2208"/>
      <c r="N104" s="651" t="s">
        <v>1294</v>
      </c>
      <c r="O104" s="1664" t="s">
        <v>1295</v>
      </c>
      <c r="P104" s="610" t="s">
        <v>1296</v>
      </c>
    </row>
    <row r="105" spans="3:18">
      <c r="C105" s="1522">
        <v>45292</v>
      </c>
      <c r="D105" s="1614">
        <v>16237</v>
      </c>
      <c r="E105" s="953">
        <v>1.2</v>
      </c>
      <c r="F105" s="1665">
        <f>D105*E105</f>
        <v>19484.399999999998</v>
      </c>
      <c r="H105" s="2209">
        <f t="shared" ref="H105:H116" si="45">F105+R89+U73</f>
        <v>24772.133347432431</v>
      </c>
      <c r="I105" s="2210"/>
      <c r="J105" s="2210"/>
      <c r="K105" s="2211"/>
      <c r="L105" s="2212"/>
      <c r="N105" s="1192" t="s">
        <v>278</v>
      </c>
      <c r="O105" s="1192">
        <v>1000</v>
      </c>
      <c r="P105" s="1814">
        <v>1965.86</v>
      </c>
    </row>
    <row r="106" spans="3:18">
      <c r="C106" s="1538">
        <v>45323</v>
      </c>
      <c r="D106" s="1610"/>
      <c r="E106" s="651">
        <v>1.2</v>
      </c>
      <c r="F106" s="1667">
        <f t="shared" ref="F106:F116" si="46">D106*E106</f>
        <v>0</v>
      </c>
      <c r="H106" s="2174">
        <f t="shared" si="45"/>
        <v>0</v>
      </c>
      <c r="I106" s="2175"/>
      <c r="J106" s="2175"/>
      <c r="K106" s="2176"/>
      <c r="L106" s="2177"/>
      <c r="N106" s="1192" t="s">
        <v>279</v>
      </c>
      <c r="O106" s="1192"/>
      <c r="P106" s="1666"/>
    </row>
    <row r="107" spans="3:18">
      <c r="C107" s="1538">
        <v>45352</v>
      </c>
      <c r="D107" s="1622"/>
      <c r="E107" s="651">
        <v>1.2</v>
      </c>
      <c r="F107" s="1667">
        <f t="shared" si="46"/>
        <v>0</v>
      </c>
      <c r="H107" s="2174">
        <f t="shared" si="45"/>
        <v>0</v>
      </c>
      <c r="I107" s="2175"/>
      <c r="J107" s="2175"/>
      <c r="K107" s="2176"/>
      <c r="L107" s="2177"/>
      <c r="N107" s="1192" t="s">
        <v>280</v>
      </c>
      <c r="O107" s="1192"/>
      <c r="P107" s="1666"/>
    </row>
    <row r="108" spans="3:18">
      <c r="C108" s="1538">
        <v>45383</v>
      </c>
      <c r="D108" s="1622"/>
      <c r="E108" s="651">
        <v>1.2</v>
      </c>
      <c r="F108" s="1667">
        <f t="shared" si="46"/>
        <v>0</v>
      </c>
      <c r="H108" s="2174">
        <f t="shared" si="45"/>
        <v>0</v>
      </c>
      <c r="I108" s="2175"/>
      <c r="J108" s="2175"/>
      <c r="K108" s="2176"/>
      <c r="L108" s="2177"/>
      <c r="N108" s="1192" t="s">
        <v>281</v>
      </c>
      <c r="O108" s="1192"/>
      <c r="P108" s="1666"/>
    </row>
    <row r="109" spans="3:18">
      <c r="C109" s="1538">
        <v>45413</v>
      </c>
      <c r="D109" s="1622"/>
      <c r="E109" s="651">
        <v>1.2</v>
      </c>
      <c r="F109" s="1667">
        <f t="shared" si="46"/>
        <v>0</v>
      </c>
      <c r="H109" s="2174">
        <f t="shared" si="45"/>
        <v>0</v>
      </c>
      <c r="I109" s="2175"/>
      <c r="J109" s="2175"/>
      <c r="K109" s="2176"/>
      <c r="L109" s="2177"/>
      <c r="N109" s="1192" t="s">
        <v>132</v>
      </c>
      <c r="O109" s="1192"/>
      <c r="P109" s="1666"/>
    </row>
    <row r="110" spans="3:18" ht="15.75" thickBot="1">
      <c r="C110" s="1577">
        <v>45444</v>
      </c>
      <c r="D110" s="1637"/>
      <c r="E110" s="713">
        <v>1.2</v>
      </c>
      <c r="F110" s="1668">
        <f t="shared" si="46"/>
        <v>0</v>
      </c>
      <c r="H110" s="2178">
        <f t="shared" si="45"/>
        <v>0</v>
      </c>
      <c r="I110" s="2179"/>
      <c r="J110" s="2179"/>
      <c r="K110" s="2180"/>
      <c r="L110" s="2181"/>
      <c r="N110" s="1192" t="s">
        <v>282</v>
      </c>
      <c r="O110" s="1192"/>
      <c r="P110" s="1666"/>
    </row>
    <row r="111" spans="3:18">
      <c r="C111" s="1669">
        <v>45474</v>
      </c>
      <c r="D111" s="1610"/>
      <c r="E111" s="499">
        <v>1.2</v>
      </c>
      <c r="F111" s="1670">
        <f t="shared" si="46"/>
        <v>0</v>
      </c>
      <c r="H111" s="2185">
        <f t="shared" si="45"/>
        <v>0</v>
      </c>
      <c r="I111" s="2186"/>
      <c r="J111" s="2186"/>
      <c r="K111" s="2187"/>
      <c r="L111" s="2188"/>
      <c r="N111" s="1192" t="s">
        <v>283</v>
      </c>
      <c r="O111" s="1192"/>
      <c r="P111" s="1666"/>
    </row>
    <row r="112" spans="3:18">
      <c r="C112" s="1538">
        <v>45505</v>
      </c>
      <c r="D112" s="1622"/>
      <c r="E112" s="651">
        <v>1.2</v>
      </c>
      <c r="F112" s="1667">
        <f t="shared" si="46"/>
        <v>0</v>
      </c>
      <c r="H112" s="2174">
        <f t="shared" si="45"/>
        <v>0</v>
      </c>
      <c r="I112" s="2175"/>
      <c r="J112" s="2175"/>
      <c r="K112" s="2176"/>
      <c r="L112" s="2177"/>
      <c r="N112" s="1192" t="s">
        <v>284</v>
      </c>
      <c r="O112" s="1192"/>
      <c r="P112" s="1666"/>
    </row>
    <row r="113" spans="3:16">
      <c r="C113" s="1538">
        <v>45536</v>
      </c>
      <c r="D113" s="1622"/>
      <c r="E113" s="651">
        <v>1.2</v>
      </c>
      <c r="F113" s="1667">
        <f t="shared" si="46"/>
        <v>0</v>
      </c>
      <c r="H113" s="2174">
        <f t="shared" si="45"/>
        <v>0</v>
      </c>
      <c r="I113" s="2175"/>
      <c r="J113" s="2175"/>
      <c r="K113" s="2176"/>
      <c r="L113" s="2177"/>
      <c r="N113" s="1192" t="s">
        <v>285</v>
      </c>
      <c r="O113" s="1192"/>
      <c r="P113" s="1666"/>
    </row>
    <row r="114" spans="3:16">
      <c r="C114" s="1538">
        <v>45566</v>
      </c>
      <c r="D114" s="1622"/>
      <c r="E114" s="651">
        <v>1.2</v>
      </c>
      <c r="F114" s="1667">
        <f t="shared" si="46"/>
        <v>0</v>
      </c>
      <c r="H114" s="2174">
        <f t="shared" si="45"/>
        <v>0</v>
      </c>
      <c r="I114" s="2175"/>
      <c r="J114" s="2175"/>
      <c r="K114" s="2176"/>
      <c r="L114" s="2177"/>
      <c r="N114" s="1192" t="s">
        <v>286</v>
      </c>
      <c r="O114" s="1192"/>
      <c r="P114" s="1666"/>
    </row>
    <row r="115" spans="3:16">
      <c r="C115" s="1538">
        <v>45597</v>
      </c>
      <c r="D115" s="1622"/>
      <c r="E115" s="651">
        <v>1.2</v>
      </c>
      <c r="F115" s="1667">
        <f t="shared" si="46"/>
        <v>0</v>
      </c>
      <c r="H115" s="2174">
        <f t="shared" si="45"/>
        <v>0</v>
      </c>
      <c r="I115" s="2175"/>
      <c r="J115" s="2175"/>
      <c r="K115" s="2176"/>
      <c r="L115" s="2177"/>
      <c r="N115" s="1192" t="s">
        <v>287</v>
      </c>
      <c r="O115" s="1192"/>
      <c r="P115" s="1666"/>
    </row>
    <row r="116" spans="3:16" ht="15.75" thickBot="1">
      <c r="C116" s="1577">
        <v>45627</v>
      </c>
      <c r="D116" s="1637"/>
      <c r="E116" s="713">
        <v>1.2</v>
      </c>
      <c r="F116" s="1668">
        <f t="shared" si="46"/>
        <v>0</v>
      </c>
      <c r="H116" s="2178">
        <f t="shared" si="45"/>
        <v>0</v>
      </c>
      <c r="I116" s="2179"/>
      <c r="J116" s="2179"/>
      <c r="K116" s="2180"/>
      <c r="L116" s="2181"/>
      <c r="N116" s="1192" t="s">
        <v>288</v>
      </c>
      <c r="O116" s="1192"/>
      <c r="P116" s="1666"/>
    </row>
    <row r="117" spans="3:16" ht="15.75" thickBot="1"/>
    <row r="118" spans="3:16" ht="15.75" thickBot="1">
      <c r="C118" s="2182" t="s">
        <v>1297</v>
      </c>
      <c r="D118" s="2183"/>
      <c r="E118" s="2183"/>
      <c r="F118" s="2184"/>
    </row>
    <row r="119" spans="3:16" ht="15.75" thickBot="1">
      <c r="C119" s="1671" t="s">
        <v>121</v>
      </c>
      <c r="D119" s="1672" t="s">
        <v>1298</v>
      </c>
      <c r="E119" s="1673" t="s">
        <v>1299</v>
      </c>
      <c r="F119" s="1673" t="s">
        <v>1300</v>
      </c>
    </row>
    <row r="120" spans="3:16">
      <c r="C120" s="1674">
        <v>45292</v>
      </c>
      <c r="D120" s="819">
        <f>F105</f>
        <v>19484.399999999998</v>
      </c>
      <c r="E120" s="1675">
        <f>D120*60%</f>
        <v>11690.639999999998</v>
      </c>
      <c r="F120" s="1676">
        <f>D120*40%</f>
        <v>7793.7599999999993</v>
      </c>
    </row>
    <row r="121" spans="3:16">
      <c r="C121" s="1677">
        <v>45323</v>
      </c>
      <c r="D121" s="822">
        <f t="shared" ref="D121:D131" si="47">F106</f>
        <v>0</v>
      </c>
      <c r="E121" s="1372">
        <f t="shared" ref="E121:E131" si="48">D121*60%</f>
        <v>0</v>
      </c>
      <c r="F121" s="1678">
        <f t="shared" ref="F121:F131" si="49">D121*40%</f>
        <v>0</v>
      </c>
    </row>
    <row r="122" spans="3:16">
      <c r="C122" s="1677">
        <v>45352</v>
      </c>
      <c r="D122" s="822">
        <f t="shared" si="47"/>
        <v>0</v>
      </c>
      <c r="E122" s="1372">
        <f t="shared" si="48"/>
        <v>0</v>
      </c>
      <c r="F122" s="1678">
        <f t="shared" si="49"/>
        <v>0</v>
      </c>
    </row>
    <row r="123" spans="3:16">
      <c r="C123" s="1677">
        <v>45383</v>
      </c>
      <c r="D123" s="822">
        <f t="shared" si="47"/>
        <v>0</v>
      </c>
      <c r="E123" s="1372">
        <f t="shared" si="48"/>
        <v>0</v>
      </c>
      <c r="F123" s="1678">
        <f t="shared" si="49"/>
        <v>0</v>
      </c>
    </row>
    <row r="124" spans="3:16">
      <c r="C124" s="1677">
        <v>45413</v>
      </c>
      <c r="D124" s="822">
        <f t="shared" si="47"/>
        <v>0</v>
      </c>
      <c r="E124" s="1372">
        <f t="shared" si="48"/>
        <v>0</v>
      </c>
      <c r="F124" s="1678">
        <f t="shared" si="49"/>
        <v>0</v>
      </c>
    </row>
    <row r="125" spans="3:16" ht="15.75" thickBot="1">
      <c r="C125" s="1679">
        <v>45444</v>
      </c>
      <c r="D125" s="825">
        <f t="shared" si="47"/>
        <v>0</v>
      </c>
      <c r="E125" s="1680">
        <f t="shared" si="48"/>
        <v>0</v>
      </c>
      <c r="F125" s="1681">
        <f t="shared" si="49"/>
        <v>0</v>
      </c>
    </row>
    <row r="126" spans="3:16">
      <c r="C126" s="1682">
        <v>45474</v>
      </c>
      <c r="D126" s="819">
        <f t="shared" si="47"/>
        <v>0</v>
      </c>
      <c r="E126" s="1675">
        <f t="shared" si="48"/>
        <v>0</v>
      </c>
      <c r="F126" s="1676">
        <f t="shared" si="49"/>
        <v>0</v>
      </c>
    </row>
    <row r="127" spans="3:16">
      <c r="C127" s="1677">
        <v>45505</v>
      </c>
      <c r="D127" s="822">
        <f t="shared" si="47"/>
        <v>0</v>
      </c>
      <c r="E127" s="1372">
        <f t="shared" si="48"/>
        <v>0</v>
      </c>
      <c r="F127" s="1678">
        <f t="shared" si="49"/>
        <v>0</v>
      </c>
    </row>
    <row r="128" spans="3:16">
      <c r="C128" s="1677">
        <v>45536</v>
      </c>
      <c r="D128" s="822">
        <f t="shared" si="47"/>
        <v>0</v>
      </c>
      <c r="E128" s="1372">
        <f t="shared" si="48"/>
        <v>0</v>
      </c>
      <c r="F128" s="1678">
        <f t="shared" si="49"/>
        <v>0</v>
      </c>
    </row>
    <row r="129" spans="3:6">
      <c r="C129" s="1677">
        <v>45566</v>
      </c>
      <c r="D129" s="822">
        <f t="shared" si="47"/>
        <v>0</v>
      </c>
      <c r="E129" s="1372">
        <f t="shared" si="48"/>
        <v>0</v>
      </c>
      <c r="F129" s="1678">
        <f t="shared" si="49"/>
        <v>0</v>
      </c>
    </row>
    <row r="130" spans="3:6">
      <c r="C130" s="1677">
        <v>45597</v>
      </c>
      <c r="D130" s="822">
        <f t="shared" si="47"/>
        <v>0</v>
      </c>
      <c r="E130" s="1372">
        <f t="shared" si="48"/>
        <v>0</v>
      </c>
      <c r="F130" s="1678">
        <f t="shared" si="49"/>
        <v>0</v>
      </c>
    </row>
    <row r="131" spans="3:6" ht="15.75" thickBot="1">
      <c r="C131" s="1679">
        <v>45627</v>
      </c>
      <c r="D131" s="825">
        <f t="shared" si="47"/>
        <v>0</v>
      </c>
      <c r="E131" s="1680">
        <f t="shared" si="48"/>
        <v>0</v>
      </c>
      <c r="F131" s="1681">
        <f t="shared" si="49"/>
        <v>0</v>
      </c>
    </row>
  </sheetData>
  <mergeCells count="41">
    <mergeCell ref="C36:F36"/>
    <mergeCell ref="C3:W3"/>
    <mergeCell ref="D4:J4"/>
    <mergeCell ref="K4:T4"/>
    <mergeCell ref="U4:W4"/>
    <mergeCell ref="C20:R20"/>
    <mergeCell ref="H48:L48"/>
    <mergeCell ref="H37:L37"/>
    <mergeCell ref="H38:L38"/>
    <mergeCell ref="H39:L39"/>
    <mergeCell ref="H40:L40"/>
    <mergeCell ref="H41:L41"/>
    <mergeCell ref="H42:L42"/>
    <mergeCell ref="H43:L43"/>
    <mergeCell ref="H44:L44"/>
    <mergeCell ref="H45:L45"/>
    <mergeCell ref="H46:L46"/>
    <mergeCell ref="H47:L47"/>
    <mergeCell ref="H107:L107"/>
    <mergeCell ref="H49:L49"/>
    <mergeCell ref="C51:F51"/>
    <mergeCell ref="C70:W70"/>
    <mergeCell ref="D71:J71"/>
    <mergeCell ref="K71:T71"/>
    <mergeCell ref="U71:W71"/>
    <mergeCell ref="C87:R87"/>
    <mergeCell ref="C103:F103"/>
    <mergeCell ref="H104:L104"/>
    <mergeCell ref="H105:L105"/>
    <mergeCell ref="H106:L106"/>
    <mergeCell ref="C67:C68"/>
    <mergeCell ref="H114:L114"/>
    <mergeCell ref="H115:L115"/>
    <mergeCell ref="H116:L116"/>
    <mergeCell ref="C118:F118"/>
    <mergeCell ref="H108:L108"/>
    <mergeCell ref="H109:L109"/>
    <mergeCell ref="H110:L110"/>
    <mergeCell ref="H111:L111"/>
    <mergeCell ref="H112:L112"/>
    <mergeCell ref="H113:L113"/>
  </mergeCells>
  <pageMargins left="0.7" right="0.7" top="0.75" bottom="0.75" header="0.3" footer="0.3"/>
  <pageSetup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2CAA2-E541-4769-995E-CEFD8E5AE69B}">
  <dimension ref="A1:U54"/>
  <sheetViews>
    <sheetView showGridLines="0" workbookViewId="0">
      <selection activeCell="G23" sqref="G23"/>
    </sheetView>
  </sheetViews>
  <sheetFormatPr defaultRowHeight="15"/>
  <cols>
    <col min="1" max="1" width="27.140625" bestFit="1" customWidth="1"/>
    <col min="2" max="2" width="3" customWidth="1"/>
    <col min="3" max="3" width="10.140625" bestFit="1" customWidth="1"/>
    <col min="4" max="4" width="15.42578125" customWidth="1"/>
    <col min="6" max="7" width="16.28515625" customWidth="1"/>
    <col min="10" max="10" width="11" customWidth="1"/>
    <col min="14" max="14" width="12.85546875" customWidth="1"/>
    <col min="16" max="16" width="13.5703125" bestFit="1" customWidth="1"/>
    <col min="18" max="18" width="12.140625" customWidth="1"/>
    <col min="19" max="19" width="12" customWidth="1"/>
    <col min="20" max="20" width="10.7109375" customWidth="1"/>
    <col min="21" max="21" width="10.5703125" bestFit="1" customWidth="1"/>
  </cols>
  <sheetData>
    <row r="1" spans="1:21" ht="23.25">
      <c r="C1" s="2214">
        <v>2023</v>
      </c>
      <c r="D1" s="2214"/>
      <c r="E1" s="2214"/>
    </row>
    <row r="2" spans="1:21" ht="15.75" thickBot="1"/>
    <row r="3" spans="1:21" ht="19.5" thickBot="1">
      <c r="C3" s="2215" t="s">
        <v>544</v>
      </c>
      <c r="D3" s="2215"/>
      <c r="E3" s="2215"/>
      <c r="F3" s="2215"/>
      <c r="G3" s="2215"/>
      <c r="H3" s="2215"/>
      <c r="I3" s="2215"/>
      <c r="J3" s="2215"/>
      <c r="K3" s="2215"/>
      <c r="L3" s="1476"/>
      <c r="M3" s="2216" t="s">
        <v>545</v>
      </c>
      <c r="N3" s="2217"/>
      <c r="O3" s="2217"/>
      <c r="P3" s="2217"/>
      <c r="Q3" s="2217"/>
      <c r="R3" s="2217"/>
      <c r="S3" s="2217"/>
      <c r="T3" s="2217"/>
      <c r="U3" s="2218"/>
    </row>
    <row r="4" spans="1:21" ht="33.75" thickBot="1">
      <c r="A4" s="880" t="s">
        <v>338</v>
      </c>
      <c r="C4" s="1475" t="s">
        <v>121</v>
      </c>
      <c r="D4" s="1472" t="s">
        <v>546</v>
      </c>
      <c r="E4" s="1472" t="s">
        <v>547</v>
      </c>
      <c r="F4" s="1472" t="s">
        <v>548</v>
      </c>
      <c r="G4" s="1472" t="s">
        <v>549</v>
      </c>
      <c r="H4" s="1472" t="s">
        <v>1301</v>
      </c>
      <c r="I4" s="1472" t="s">
        <v>1302</v>
      </c>
      <c r="J4" s="1472" t="s">
        <v>550</v>
      </c>
      <c r="K4" s="1472" t="s">
        <v>334</v>
      </c>
      <c r="L4" s="1474"/>
      <c r="M4" s="1472" t="s">
        <v>551</v>
      </c>
      <c r="N4" s="1472" t="s">
        <v>552</v>
      </c>
      <c r="O4" s="1472" t="s">
        <v>553</v>
      </c>
      <c r="P4" s="1473" t="s">
        <v>554</v>
      </c>
      <c r="Q4" s="1472" t="s">
        <v>555</v>
      </c>
      <c r="R4" s="1472" t="s">
        <v>556</v>
      </c>
      <c r="S4" s="1472" t="s">
        <v>557</v>
      </c>
      <c r="T4" s="1472" t="s">
        <v>550</v>
      </c>
      <c r="U4" s="1472" t="s">
        <v>334</v>
      </c>
    </row>
    <row r="5" spans="1:21">
      <c r="A5" s="882" t="s">
        <v>1303</v>
      </c>
      <c r="C5" s="1471" t="s">
        <v>278</v>
      </c>
      <c r="D5" s="403">
        <v>4247.1049999999996</v>
      </c>
      <c r="E5" s="403"/>
      <c r="F5" s="403"/>
      <c r="G5" s="403">
        <v>39599.949999999997</v>
      </c>
      <c r="H5" s="403"/>
      <c r="I5" s="403"/>
      <c r="J5" s="403"/>
      <c r="K5" s="1470">
        <f t="shared" ref="K5:K16" si="0">IF(SUM(D5:J5)=0,"",SUM(D5:J5))</f>
        <v>43847.054999999993</v>
      </c>
      <c r="L5" s="1458"/>
      <c r="M5" s="403">
        <v>51596.654999999999</v>
      </c>
      <c r="N5" s="403">
        <v>182012</v>
      </c>
      <c r="O5" s="1467">
        <f>(53307.96*250)/1000</f>
        <v>13326.99</v>
      </c>
      <c r="P5" s="403"/>
      <c r="Q5" s="411">
        <v>2148.89</v>
      </c>
      <c r="R5" s="1478">
        <f>Packaging!H7</f>
        <v>32662.95954208108</v>
      </c>
      <c r="S5" s="412"/>
      <c r="T5" s="403"/>
      <c r="U5" s="1469">
        <f t="shared" ref="U5:U16" si="1">IF(SUM(M5:T5)=0,"",SUM(M5:T5))</f>
        <v>281747.49454208108</v>
      </c>
    </row>
    <row r="6" spans="1:21">
      <c r="A6" t="s">
        <v>242</v>
      </c>
      <c r="C6" s="1468" t="s">
        <v>279</v>
      </c>
      <c r="D6" s="404">
        <v>2652.0070000000001</v>
      </c>
      <c r="E6" s="404"/>
      <c r="F6" s="404"/>
      <c r="G6" s="404">
        <v>30421.58</v>
      </c>
      <c r="H6" s="404"/>
      <c r="I6" s="404"/>
      <c r="J6" s="404"/>
      <c r="K6" s="1466">
        <f t="shared" si="0"/>
        <v>33073.587</v>
      </c>
      <c r="L6" s="1458"/>
      <c r="M6" s="404">
        <v>44529.161</v>
      </c>
      <c r="N6" s="404">
        <v>148600.639</v>
      </c>
      <c r="O6" s="1467">
        <v>9152.91</v>
      </c>
      <c r="P6" s="404"/>
      <c r="Q6" s="413">
        <v>599.07000000000005</v>
      </c>
      <c r="R6" s="1477">
        <f>Packaging!H8</f>
        <v>19692.170287999998</v>
      </c>
      <c r="S6" s="414"/>
      <c r="T6" s="404"/>
      <c r="U6" s="1466">
        <f t="shared" si="1"/>
        <v>222573.95028799999</v>
      </c>
    </row>
    <row r="7" spans="1:21">
      <c r="C7" s="1468" t="s">
        <v>280</v>
      </c>
      <c r="D7" s="404">
        <v>2147.8870000000002</v>
      </c>
      <c r="E7" s="404"/>
      <c r="F7" s="404"/>
      <c r="G7" s="404">
        <v>26345.766</v>
      </c>
      <c r="H7" s="404"/>
      <c r="I7" s="404"/>
      <c r="J7" s="404"/>
      <c r="K7" s="1466">
        <f t="shared" si="0"/>
        <v>28493.652999999998</v>
      </c>
      <c r="L7" s="1458"/>
      <c r="M7" s="404">
        <v>42313.459000000003</v>
      </c>
      <c r="N7" s="404">
        <v>196918.22500000001</v>
      </c>
      <c r="O7" s="1467">
        <f>(15866.37*250)/1000</f>
        <v>3966.5925000000002</v>
      </c>
      <c r="P7" s="404"/>
      <c r="Q7" s="413">
        <v>1597.5</v>
      </c>
      <c r="R7" s="1477">
        <f>Packaging!H9</f>
        <v>22903.41028</v>
      </c>
      <c r="S7" s="414"/>
      <c r="T7" s="404"/>
      <c r="U7" s="1466">
        <f t="shared" si="1"/>
        <v>267699.18677999999</v>
      </c>
    </row>
    <row r="8" spans="1:21">
      <c r="C8" s="1468" t="s">
        <v>281</v>
      </c>
      <c r="D8" s="404">
        <v>7610.2939999999999</v>
      </c>
      <c r="E8" s="404"/>
      <c r="F8" s="404"/>
      <c r="G8" s="404">
        <v>34551.410000000003</v>
      </c>
      <c r="H8" s="404"/>
      <c r="I8" s="404"/>
      <c r="J8" s="404"/>
      <c r="K8" s="1466">
        <f t="shared" si="0"/>
        <v>42161.704000000005</v>
      </c>
      <c r="L8" s="1458"/>
      <c r="M8" s="404">
        <v>42177.726000000002</v>
      </c>
      <c r="N8" s="404">
        <v>174256.84299999999</v>
      </c>
      <c r="O8" s="1467">
        <f>(64739.73*250)/1000</f>
        <v>16184.932500000001</v>
      </c>
      <c r="P8" s="404"/>
      <c r="Q8" s="413">
        <v>1640.14</v>
      </c>
      <c r="R8" s="1477">
        <f>Packaging!H10</f>
        <v>24259.749890378378</v>
      </c>
      <c r="S8" s="414"/>
      <c r="T8" s="404"/>
      <c r="U8" s="1466">
        <f t="shared" si="1"/>
        <v>258519.39139037838</v>
      </c>
    </row>
    <row r="9" spans="1:21">
      <c r="C9" s="1468" t="s">
        <v>132</v>
      </c>
      <c r="D9" s="404">
        <v>12346.5</v>
      </c>
      <c r="E9" s="404"/>
      <c r="F9" s="404"/>
      <c r="G9" s="404">
        <v>56670.720000000001</v>
      </c>
      <c r="H9" s="404"/>
      <c r="I9" s="404"/>
      <c r="J9" s="404"/>
      <c r="K9" s="1466">
        <f t="shared" si="0"/>
        <v>69017.22</v>
      </c>
      <c r="L9" s="1458"/>
      <c r="M9" s="404">
        <v>64129.63</v>
      </c>
      <c r="N9" s="404">
        <v>240087.016</v>
      </c>
      <c r="O9" s="1467">
        <f>(34244.91*250)/1000</f>
        <v>8561.2275000000009</v>
      </c>
      <c r="P9" s="404"/>
      <c r="Q9" s="413">
        <v>1628</v>
      </c>
      <c r="R9" s="1477">
        <f>Packaging!H11</f>
        <v>29041.252179999999</v>
      </c>
      <c r="S9" s="414"/>
      <c r="T9" s="404"/>
      <c r="U9" s="1466">
        <f t="shared" si="1"/>
        <v>343447.12568</v>
      </c>
    </row>
    <row r="10" spans="1:21">
      <c r="C10" s="1468" t="s">
        <v>282</v>
      </c>
      <c r="D10" s="404">
        <v>11410.004999999999</v>
      </c>
      <c r="E10" s="404"/>
      <c r="F10" s="404"/>
      <c r="G10" s="404">
        <v>53862</v>
      </c>
      <c r="H10" s="404"/>
      <c r="I10" s="404"/>
      <c r="J10" s="404"/>
      <c r="K10" s="1466">
        <f t="shared" si="0"/>
        <v>65272.004999999997</v>
      </c>
      <c r="L10" s="1458"/>
      <c r="M10" s="404">
        <v>38349.564000000006</v>
      </c>
      <c r="N10" s="404">
        <v>227232.42499999999</v>
      </c>
      <c r="O10" s="1467">
        <f>(63458.73*250)/1000</f>
        <v>15864.682500000001</v>
      </c>
      <c r="P10" s="404"/>
      <c r="Q10" s="413">
        <v>833.39</v>
      </c>
      <c r="R10" s="1477">
        <f>Packaging!H12</f>
        <v>28932.040492</v>
      </c>
      <c r="S10" s="414"/>
      <c r="T10" s="404"/>
      <c r="U10" s="1466">
        <f t="shared" si="1"/>
        <v>311212.10199200001</v>
      </c>
    </row>
    <row r="11" spans="1:21">
      <c r="C11" s="1468" t="s">
        <v>283</v>
      </c>
      <c r="D11" s="404">
        <v>7770.4740000000002</v>
      </c>
      <c r="E11" s="404"/>
      <c r="F11" s="404"/>
      <c r="G11" s="404">
        <v>49682.9</v>
      </c>
      <c r="H11" s="404"/>
      <c r="I11" s="404"/>
      <c r="J11" s="404"/>
      <c r="K11" s="1466">
        <f t="shared" si="0"/>
        <v>57453.374000000003</v>
      </c>
      <c r="L11" s="1458"/>
      <c r="M11" s="404">
        <v>50559.201999999997</v>
      </c>
      <c r="N11" s="404">
        <v>205473.3</v>
      </c>
      <c r="O11" s="1467">
        <f>(37042.55*250)/1000</f>
        <v>9260.6375000000007</v>
      </c>
      <c r="P11" s="404"/>
      <c r="Q11" s="413">
        <v>2906.77</v>
      </c>
      <c r="R11" s="1477">
        <f>Packaging!H13</f>
        <v>26743.752726999999</v>
      </c>
      <c r="S11" s="414"/>
      <c r="T11" s="404"/>
      <c r="U11" s="1466">
        <f t="shared" si="1"/>
        <v>294943.66222699999</v>
      </c>
    </row>
    <row r="12" spans="1:21">
      <c r="C12" s="1468" t="s">
        <v>284</v>
      </c>
      <c r="D12" s="404">
        <v>17261.259999999998</v>
      </c>
      <c r="E12" s="404"/>
      <c r="F12" s="404"/>
      <c r="G12" s="404">
        <v>55272.53</v>
      </c>
      <c r="H12" s="404"/>
      <c r="I12" s="404"/>
      <c r="J12" s="404"/>
      <c r="K12" s="1466">
        <f t="shared" si="0"/>
        <v>72533.789999999994</v>
      </c>
      <c r="L12" s="1458"/>
      <c r="M12" s="404">
        <v>39770.197</v>
      </c>
      <c r="N12" s="404">
        <v>198752.78</v>
      </c>
      <c r="O12" s="1467">
        <f>(28422.95*250)/1000</f>
        <v>7105.7375000000002</v>
      </c>
      <c r="P12" s="404"/>
      <c r="Q12" s="413">
        <v>1370.83</v>
      </c>
      <c r="R12" s="1477">
        <f>Packaging!H14</f>
        <v>24222.478538378378</v>
      </c>
      <c r="S12" s="414"/>
      <c r="T12" s="404"/>
      <c r="U12" s="1466">
        <f t="shared" si="1"/>
        <v>271222.02303837839</v>
      </c>
    </row>
    <row r="13" spans="1:21">
      <c r="C13" s="1468" t="s">
        <v>285</v>
      </c>
      <c r="D13" s="404">
        <v>9805.74</v>
      </c>
      <c r="E13" s="404"/>
      <c r="F13" s="404"/>
      <c r="G13" s="404">
        <v>42649.120000000003</v>
      </c>
      <c r="H13" s="404"/>
      <c r="I13" s="404"/>
      <c r="J13" s="404"/>
      <c r="K13" s="1466">
        <f t="shared" si="0"/>
        <v>52454.86</v>
      </c>
      <c r="L13" s="1458"/>
      <c r="M13" s="404">
        <v>24738.787000000004</v>
      </c>
      <c r="N13" s="404">
        <v>201424.24400000001</v>
      </c>
      <c r="O13" s="1467">
        <f>(30003.73*250)/1000</f>
        <v>7500.9324999999999</v>
      </c>
      <c r="P13" s="404"/>
      <c r="Q13" s="413">
        <v>2704.26</v>
      </c>
      <c r="R13" s="1477">
        <f>Packaging!H15</f>
        <v>27427.441838999999</v>
      </c>
      <c r="S13" s="414"/>
      <c r="T13" s="404"/>
      <c r="U13" s="1466">
        <f t="shared" si="1"/>
        <v>263795.665339</v>
      </c>
    </row>
    <row r="14" spans="1:21">
      <c r="C14" s="1468" t="s">
        <v>286</v>
      </c>
      <c r="D14" s="404">
        <v>10011.030000000001</v>
      </c>
      <c r="E14" s="404"/>
      <c r="F14" s="404"/>
      <c r="G14" s="404">
        <v>41555.15</v>
      </c>
      <c r="H14" s="404"/>
      <c r="I14" s="404"/>
      <c r="J14" s="404"/>
      <c r="K14" s="1466">
        <f t="shared" si="0"/>
        <v>51566.18</v>
      </c>
      <c r="L14" s="1458"/>
      <c r="M14" s="404">
        <v>41872.79</v>
      </c>
      <c r="N14" s="404">
        <v>189528</v>
      </c>
      <c r="O14" s="1467">
        <f>(33744*250)/1000</f>
        <v>8436</v>
      </c>
      <c r="P14" s="404"/>
      <c r="Q14" s="413">
        <v>889.2</v>
      </c>
      <c r="R14" s="1477">
        <f>Packaging!H16</f>
        <v>28516.40674410811</v>
      </c>
      <c r="S14" s="414"/>
      <c r="T14" s="404"/>
      <c r="U14" s="1466">
        <f t="shared" si="1"/>
        <v>269242.39674410812</v>
      </c>
    </row>
    <row r="15" spans="1:21">
      <c r="C15" s="1468" t="s">
        <v>287</v>
      </c>
      <c r="D15" s="1871">
        <v>4666.4750000000004</v>
      </c>
      <c r="E15" s="404"/>
      <c r="F15" s="404"/>
      <c r="G15" s="404">
        <v>42149.299999999996</v>
      </c>
      <c r="H15" s="404"/>
      <c r="I15" s="404"/>
      <c r="J15" s="404"/>
      <c r="K15" s="1466">
        <f t="shared" si="0"/>
        <v>46815.774999999994</v>
      </c>
      <c r="L15" s="1458"/>
      <c r="M15" s="1871">
        <v>48164.862999999998</v>
      </c>
      <c r="N15" s="404">
        <v>225832.09</v>
      </c>
      <c r="O15" s="1467">
        <f>(36511.83*250)/1000</f>
        <v>9127.9575000000004</v>
      </c>
      <c r="P15" s="404"/>
      <c r="Q15" s="413">
        <v>2235.2199999999998</v>
      </c>
      <c r="R15" s="1477">
        <f>Packaging!H17</f>
        <v>25257.488445999996</v>
      </c>
      <c r="S15" s="414"/>
      <c r="T15" s="404"/>
      <c r="U15" s="1466">
        <f t="shared" si="1"/>
        <v>310617.61894599994</v>
      </c>
    </row>
    <row r="16" spans="1:21" ht="15.75" thickBot="1">
      <c r="C16" s="1465" t="s">
        <v>288</v>
      </c>
      <c r="D16" s="415">
        <v>5946.93</v>
      </c>
      <c r="E16" s="415"/>
      <c r="F16" s="415"/>
      <c r="G16" s="415">
        <v>33212.620000000003</v>
      </c>
      <c r="H16" s="415"/>
      <c r="I16" s="415"/>
      <c r="J16" s="415"/>
      <c r="K16" s="1464">
        <f t="shared" si="0"/>
        <v>39159.550000000003</v>
      </c>
      <c r="L16" s="1458"/>
      <c r="M16" s="415">
        <v>44241.71</v>
      </c>
      <c r="N16" s="415">
        <v>157175.87</v>
      </c>
      <c r="O16" s="1467">
        <f>(42570.29*250)/1000</f>
        <v>10642.5725</v>
      </c>
      <c r="P16" s="415"/>
      <c r="Q16" s="416">
        <v>2899.57</v>
      </c>
      <c r="R16" s="1479">
        <f>Packaging!H18</f>
        <v>25493.003435999999</v>
      </c>
      <c r="S16" s="417"/>
      <c r="T16" s="415"/>
      <c r="U16" s="1464">
        <f t="shared" si="1"/>
        <v>240452.725936</v>
      </c>
    </row>
    <row r="17" spans="3:21" ht="15.75" thickBot="1">
      <c r="C17" s="1463" t="s">
        <v>334</v>
      </c>
      <c r="D17" s="1461">
        <f t="shared" ref="D17:K17" si="2">IF(SUM(D5:D16)=0,"",SUM(D5:D16))</f>
        <v>95875.706999999995</v>
      </c>
      <c r="E17" s="1461" t="str">
        <f t="shared" si="2"/>
        <v/>
      </c>
      <c r="F17" s="1461" t="str">
        <f t="shared" si="2"/>
        <v/>
      </c>
      <c r="G17" s="1461">
        <f t="shared" si="2"/>
        <v>505973.04600000003</v>
      </c>
      <c r="H17" s="1461" t="str">
        <f t="shared" si="2"/>
        <v/>
      </c>
      <c r="I17" s="1461" t="str">
        <f t="shared" si="2"/>
        <v/>
      </c>
      <c r="J17" s="1461" t="str">
        <f t="shared" si="2"/>
        <v/>
      </c>
      <c r="K17" s="1461">
        <f t="shared" si="2"/>
        <v>601848.75300000003</v>
      </c>
      <c r="L17" s="1458"/>
      <c r="M17" s="1461">
        <f t="shared" ref="M17:U17" si="3">IF(SUM(M5:M16)=0,"",SUM(M5:M16))</f>
        <v>532443.74399999995</v>
      </c>
      <c r="N17" s="1461">
        <f t="shared" si="3"/>
        <v>2347293.432</v>
      </c>
      <c r="O17" s="1461">
        <f t="shared" si="3"/>
        <v>119131.1725</v>
      </c>
      <c r="P17" s="1461" t="str">
        <f t="shared" si="3"/>
        <v/>
      </c>
      <c r="Q17" s="1461">
        <f t="shared" si="3"/>
        <v>21452.84</v>
      </c>
      <c r="R17" s="1461">
        <f t="shared" si="3"/>
        <v>315152.15440294589</v>
      </c>
      <c r="S17" s="1461" t="str">
        <f t="shared" si="3"/>
        <v/>
      </c>
      <c r="T17" s="1461" t="str">
        <f t="shared" si="3"/>
        <v/>
      </c>
      <c r="U17" s="1461">
        <f t="shared" si="3"/>
        <v>3335473.3429029463</v>
      </c>
    </row>
    <row r="18" spans="3:21" ht="17.25" thickBot="1">
      <c r="C18" s="1462" t="s">
        <v>335</v>
      </c>
      <c r="D18" s="1461">
        <f t="shared" ref="D18:K18" si="4">IFERROR(AVERAGE(D5:D16),"")</f>
        <v>7989.6422499999999</v>
      </c>
      <c r="E18" s="1461" t="str">
        <f t="shared" si="4"/>
        <v/>
      </c>
      <c r="F18" s="1461" t="str">
        <f t="shared" si="4"/>
        <v/>
      </c>
      <c r="G18" s="1461">
        <f t="shared" si="4"/>
        <v>42164.4205</v>
      </c>
      <c r="H18" s="1461" t="str">
        <f t="shared" si="4"/>
        <v/>
      </c>
      <c r="I18" s="1461" t="str">
        <f t="shared" si="4"/>
        <v/>
      </c>
      <c r="J18" s="1461" t="str">
        <f t="shared" si="4"/>
        <v/>
      </c>
      <c r="K18" s="1461">
        <f t="shared" si="4"/>
        <v>50154.062750000005</v>
      </c>
      <c r="L18" s="1458"/>
      <c r="M18" s="1461">
        <f t="shared" ref="M18:U18" si="5">IFERROR(AVERAGE(M5:M16),"")</f>
        <v>44370.311999999998</v>
      </c>
      <c r="N18" s="1461">
        <f t="shared" si="5"/>
        <v>195607.78599999999</v>
      </c>
      <c r="O18" s="1461">
        <f t="shared" si="5"/>
        <v>9927.5977083333328</v>
      </c>
      <c r="P18" s="1461" t="str">
        <f t="shared" si="5"/>
        <v/>
      </c>
      <c r="Q18" s="1461">
        <f t="shared" si="5"/>
        <v>1787.7366666666667</v>
      </c>
      <c r="R18" s="1461">
        <f t="shared" si="5"/>
        <v>26262.679533578823</v>
      </c>
      <c r="S18" s="1461" t="str">
        <f t="shared" si="5"/>
        <v/>
      </c>
      <c r="T18" s="1461" t="str">
        <f t="shared" si="5"/>
        <v/>
      </c>
      <c r="U18" s="1461">
        <f t="shared" si="5"/>
        <v>277956.11190857884</v>
      </c>
    </row>
    <row r="19" spans="3:21" ht="15.75">
      <c r="C19" s="1460"/>
      <c r="D19" s="2219" t="s">
        <v>560</v>
      </c>
      <c r="E19" s="2219"/>
      <c r="F19" s="2219"/>
      <c r="G19" s="2219"/>
      <c r="H19" s="2219"/>
      <c r="I19" s="1459"/>
      <c r="J19" s="1459"/>
      <c r="K19" s="1459"/>
      <c r="L19" s="1458"/>
      <c r="M19" s="1459"/>
      <c r="N19" s="1459"/>
      <c r="O19" s="2219" t="s">
        <v>561</v>
      </c>
      <c r="P19" s="2219"/>
      <c r="Q19" s="2219"/>
      <c r="R19" s="2219"/>
      <c r="S19" s="1459"/>
      <c r="T19" s="1459"/>
      <c r="U19" s="1459"/>
    </row>
    <row r="21" spans="3:21">
      <c r="D21" t="s">
        <v>1304</v>
      </c>
    </row>
    <row r="22" spans="3:21">
      <c r="D22" t="s">
        <v>1305</v>
      </c>
    </row>
    <row r="24" spans="3:21" ht="23.25">
      <c r="C24" s="2214">
        <v>2024</v>
      </c>
      <c r="D24" s="2214"/>
      <c r="E24" s="2214"/>
    </row>
    <row r="25" spans="3:21" ht="15.75" thickBot="1"/>
    <row r="26" spans="3:21" ht="19.5" thickBot="1">
      <c r="C26" s="2215" t="s">
        <v>544</v>
      </c>
      <c r="D26" s="2215"/>
      <c r="E26" s="2215"/>
      <c r="F26" s="2215"/>
      <c r="G26" s="2215"/>
      <c r="H26" s="2215"/>
      <c r="I26" s="2215"/>
      <c r="J26" s="2215"/>
      <c r="K26" s="2215"/>
      <c r="L26" s="1476"/>
      <c r="M26" s="2216" t="s">
        <v>545</v>
      </c>
      <c r="N26" s="2217"/>
      <c r="O26" s="2217"/>
      <c r="P26" s="2217"/>
      <c r="Q26" s="2217"/>
      <c r="R26" s="2217"/>
      <c r="S26" s="2217"/>
      <c r="T26" s="2217"/>
      <c r="U26" s="2218"/>
    </row>
    <row r="27" spans="3:21" ht="33.75" thickBot="1">
      <c r="C27" s="1475" t="s">
        <v>121</v>
      </c>
      <c r="D27" s="1472" t="s">
        <v>546</v>
      </c>
      <c r="E27" s="1472" t="s">
        <v>547</v>
      </c>
      <c r="F27" s="1472" t="s">
        <v>548</v>
      </c>
      <c r="G27" s="1472" t="s">
        <v>549</v>
      </c>
      <c r="H27" s="1472" t="s">
        <v>1301</v>
      </c>
      <c r="I27" s="1472" t="s">
        <v>1302</v>
      </c>
      <c r="J27" s="1472" t="s">
        <v>550</v>
      </c>
      <c r="K27" s="1472" t="s">
        <v>334</v>
      </c>
      <c r="L27" s="1474"/>
      <c r="M27" s="1472" t="s">
        <v>551</v>
      </c>
      <c r="N27" s="1472" t="s">
        <v>552</v>
      </c>
      <c r="O27" s="1472" t="s">
        <v>553</v>
      </c>
      <c r="P27" s="1473" t="s">
        <v>554</v>
      </c>
      <c r="Q27" s="1472" t="s">
        <v>555</v>
      </c>
      <c r="R27" s="1472" t="s">
        <v>556</v>
      </c>
      <c r="S27" s="1472" t="s">
        <v>557</v>
      </c>
      <c r="T27" s="1472" t="s">
        <v>550</v>
      </c>
      <c r="U27" s="1472" t="s">
        <v>334</v>
      </c>
    </row>
    <row r="28" spans="3:21">
      <c r="C28" s="1471" t="s">
        <v>278</v>
      </c>
      <c r="D28" s="403">
        <v>10010.9</v>
      </c>
      <c r="E28" s="403"/>
      <c r="F28" s="403"/>
      <c r="G28" s="403">
        <v>32596.200000000004</v>
      </c>
      <c r="H28" s="403"/>
      <c r="I28" s="403"/>
      <c r="J28" s="403"/>
      <c r="K28" s="1470">
        <f t="shared" ref="K28:K39" si="6">IF(SUM(D28:J28)=0,"",SUM(D28:J28))</f>
        <v>42607.100000000006</v>
      </c>
      <c r="L28" s="1458"/>
      <c r="M28" s="403">
        <v>49898.369999999995</v>
      </c>
      <c r="N28" s="403">
        <v>214161.33</v>
      </c>
      <c r="O28" s="1842">
        <f>(19784.39*250)/1000</f>
        <v>4946.0974999999999</v>
      </c>
      <c r="P28" s="403"/>
      <c r="Q28" s="411">
        <v>3847.99</v>
      </c>
      <c r="R28" s="1478">
        <f>Packaging!H29</f>
        <v>0</v>
      </c>
      <c r="S28" s="412"/>
      <c r="T28" s="403"/>
      <c r="U28" s="1469">
        <f t="shared" ref="U28:U39" si="7">IF(SUM(M28:T28)=0,"",SUM(M28:T28))</f>
        <v>272853.78749999992</v>
      </c>
    </row>
    <row r="29" spans="3:21">
      <c r="C29" s="1468" t="s">
        <v>279</v>
      </c>
      <c r="D29" s="404"/>
      <c r="E29" s="404"/>
      <c r="F29" s="404"/>
      <c r="G29" s="404"/>
      <c r="H29" s="404"/>
      <c r="I29" s="404"/>
      <c r="J29" s="404"/>
      <c r="K29" s="1466" t="str">
        <f t="shared" si="6"/>
        <v/>
      </c>
      <c r="L29" s="1458"/>
      <c r="M29" s="403"/>
      <c r="N29" s="404"/>
      <c r="O29" s="1467"/>
      <c r="P29" s="404"/>
      <c r="Q29" s="413"/>
      <c r="R29" s="1477">
        <f>Packaging!H30</f>
        <v>0</v>
      </c>
      <c r="S29" s="414"/>
      <c r="T29" s="404"/>
      <c r="U29" s="1466" t="str">
        <f t="shared" si="7"/>
        <v/>
      </c>
    </row>
    <row r="30" spans="3:21">
      <c r="C30" s="1468" t="s">
        <v>280</v>
      </c>
      <c r="D30" s="404"/>
      <c r="E30" s="404"/>
      <c r="F30" s="404"/>
      <c r="G30" s="404"/>
      <c r="H30" s="404"/>
      <c r="I30" s="404"/>
      <c r="J30" s="404"/>
      <c r="K30" s="1466" t="str">
        <f t="shared" si="6"/>
        <v/>
      </c>
      <c r="L30" s="1458"/>
      <c r="M30" s="404"/>
      <c r="N30" s="404"/>
      <c r="O30" s="1467"/>
      <c r="P30" s="404"/>
      <c r="Q30" s="413"/>
      <c r="R30" s="1477">
        <f>Packaging!H31</f>
        <v>0</v>
      </c>
      <c r="S30" s="414"/>
      <c r="T30" s="404"/>
      <c r="U30" s="1466" t="str">
        <f t="shared" si="7"/>
        <v/>
      </c>
    </row>
    <row r="31" spans="3:21">
      <c r="C31" s="1468" t="s">
        <v>281</v>
      </c>
      <c r="D31" s="404"/>
      <c r="E31" s="404"/>
      <c r="F31" s="404"/>
      <c r="G31" s="404"/>
      <c r="H31" s="404"/>
      <c r="I31" s="404"/>
      <c r="J31" s="404"/>
      <c r="K31" s="1466" t="str">
        <f t="shared" si="6"/>
        <v/>
      </c>
      <c r="L31" s="1458"/>
      <c r="M31" s="404"/>
      <c r="N31" s="404"/>
      <c r="O31" s="1467"/>
      <c r="P31" s="404"/>
      <c r="Q31" s="413"/>
      <c r="R31" s="1477">
        <f>Packaging!H32</f>
        <v>0</v>
      </c>
      <c r="S31" s="414"/>
      <c r="T31" s="404"/>
      <c r="U31" s="1466" t="str">
        <f t="shared" si="7"/>
        <v/>
      </c>
    </row>
    <row r="32" spans="3:21">
      <c r="C32" s="1468" t="s">
        <v>132</v>
      </c>
      <c r="D32" s="404"/>
      <c r="E32" s="404"/>
      <c r="F32" s="404"/>
      <c r="G32" s="404"/>
      <c r="H32" s="404"/>
      <c r="I32" s="404"/>
      <c r="J32" s="404"/>
      <c r="K32" s="1466" t="str">
        <f t="shared" si="6"/>
        <v/>
      </c>
      <c r="L32" s="1458"/>
      <c r="M32" s="404"/>
      <c r="N32" s="404"/>
      <c r="O32" s="1467"/>
      <c r="P32" s="404"/>
      <c r="Q32" s="413"/>
      <c r="R32" s="1477" t="e">
        <f>Packaging!#REF!</f>
        <v>#REF!</v>
      </c>
      <c r="S32" s="414"/>
      <c r="T32" s="404"/>
      <c r="U32" s="1466" t="e">
        <f t="shared" si="7"/>
        <v>#REF!</v>
      </c>
    </row>
    <row r="33" spans="3:21">
      <c r="C33" s="1468" t="s">
        <v>282</v>
      </c>
      <c r="D33" s="404"/>
      <c r="E33" s="404"/>
      <c r="F33" s="404"/>
      <c r="G33" s="404"/>
      <c r="H33" s="404"/>
      <c r="I33" s="404"/>
      <c r="J33" s="404"/>
      <c r="K33" s="1466" t="str">
        <f t="shared" si="6"/>
        <v/>
      </c>
      <c r="L33" s="1458"/>
      <c r="M33" s="404"/>
      <c r="N33" s="404"/>
      <c r="O33" s="1467"/>
      <c r="P33" s="404"/>
      <c r="Q33" s="413"/>
      <c r="R33" s="1477" t="e">
        <f>Packaging!#REF!</f>
        <v>#REF!</v>
      </c>
      <c r="S33" s="414"/>
      <c r="T33" s="404"/>
      <c r="U33" s="1466" t="e">
        <f t="shared" si="7"/>
        <v>#REF!</v>
      </c>
    </row>
    <row r="34" spans="3:21">
      <c r="C34" s="1468" t="s">
        <v>283</v>
      </c>
      <c r="D34" s="404"/>
      <c r="E34" s="404"/>
      <c r="F34" s="404"/>
      <c r="G34" s="404"/>
      <c r="H34" s="404"/>
      <c r="I34" s="404"/>
      <c r="J34" s="404"/>
      <c r="K34" s="1466" t="str">
        <f t="shared" si="6"/>
        <v/>
      </c>
      <c r="L34" s="1458"/>
      <c r="M34" s="404"/>
      <c r="N34" s="404"/>
      <c r="O34" s="1467"/>
      <c r="P34" s="404"/>
      <c r="Q34" s="413"/>
      <c r="R34" s="1477" t="e">
        <f>Packaging!#REF!</f>
        <v>#REF!</v>
      </c>
      <c r="S34" s="414"/>
      <c r="T34" s="404"/>
      <c r="U34" s="1466" t="e">
        <f t="shared" si="7"/>
        <v>#REF!</v>
      </c>
    </row>
    <row r="35" spans="3:21">
      <c r="C35" s="1468" t="s">
        <v>284</v>
      </c>
      <c r="D35" s="404"/>
      <c r="E35" s="404"/>
      <c r="F35" s="404"/>
      <c r="G35" s="404"/>
      <c r="H35" s="404"/>
      <c r="I35" s="404"/>
      <c r="J35" s="404"/>
      <c r="K35" s="1466" t="str">
        <f t="shared" si="6"/>
        <v/>
      </c>
      <c r="L35" s="1458"/>
      <c r="M35" s="404"/>
      <c r="N35" s="404"/>
      <c r="O35" s="1467"/>
      <c r="P35" s="404"/>
      <c r="Q35" s="413"/>
      <c r="R35" s="1477" t="e">
        <f>Packaging!#REF!</f>
        <v>#REF!</v>
      </c>
      <c r="S35" s="414"/>
      <c r="T35" s="404"/>
      <c r="U35" s="1466" t="e">
        <f t="shared" si="7"/>
        <v>#REF!</v>
      </c>
    </row>
    <row r="36" spans="3:21">
      <c r="C36" s="1468" t="s">
        <v>285</v>
      </c>
      <c r="D36" s="404"/>
      <c r="E36" s="404"/>
      <c r="F36" s="404"/>
      <c r="G36" s="404"/>
      <c r="H36" s="404"/>
      <c r="I36" s="404"/>
      <c r="J36" s="404"/>
      <c r="K36" s="1466" t="str">
        <f t="shared" si="6"/>
        <v/>
      </c>
      <c r="L36" s="1458"/>
      <c r="M36" s="404"/>
      <c r="N36" s="404"/>
      <c r="O36" s="1467"/>
      <c r="P36" s="404"/>
      <c r="Q36" s="413"/>
      <c r="R36" s="1477" t="e">
        <f>Packaging!#REF!</f>
        <v>#REF!</v>
      </c>
      <c r="S36" s="414"/>
      <c r="T36" s="404"/>
      <c r="U36" s="1466" t="e">
        <f t="shared" si="7"/>
        <v>#REF!</v>
      </c>
    </row>
    <row r="37" spans="3:21">
      <c r="C37" s="1468" t="s">
        <v>286</v>
      </c>
      <c r="D37" s="404"/>
      <c r="E37" s="404"/>
      <c r="F37" s="404"/>
      <c r="G37" s="404"/>
      <c r="H37" s="404"/>
      <c r="I37" s="404"/>
      <c r="J37" s="404"/>
      <c r="K37" s="1466" t="str">
        <f t="shared" si="6"/>
        <v/>
      </c>
      <c r="L37" s="1458"/>
      <c r="M37" s="404"/>
      <c r="N37" s="404"/>
      <c r="O37" s="1467"/>
      <c r="P37" s="404"/>
      <c r="Q37" s="413"/>
      <c r="R37" s="1477" t="e">
        <f>Packaging!#REF!</f>
        <v>#REF!</v>
      </c>
      <c r="S37" s="414"/>
      <c r="T37" s="404"/>
      <c r="U37" s="1466" t="e">
        <f t="shared" si="7"/>
        <v>#REF!</v>
      </c>
    </row>
    <row r="38" spans="3:21">
      <c r="C38" s="1468" t="s">
        <v>287</v>
      </c>
      <c r="D38" s="404"/>
      <c r="E38" s="404"/>
      <c r="F38" s="404"/>
      <c r="G38" s="404"/>
      <c r="H38" s="404"/>
      <c r="I38" s="404"/>
      <c r="J38" s="404"/>
      <c r="K38" s="1466" t="str">
        <f t="shared" si="6"/>
        <v/>
      </c>
      <c r="L38" s="1458"/>
      <c r="M38" s="404"/>
      <c r="N38" s="404"/>
      <c r="O38" s="1467"/>
      <c r="P38" s="404"/>
      <c r="Q38" s="413"/>
      <c r="R38" s="1477" t="e">
        <f>Packaging!#REF!</f>
        <v>#REF!</v>
      </c>
      <c r="S38" s="414"/>
      <c r="T38" s="404"/>
      <c r="U38" s="1466" t="e">
        <f t="shared" si="7"/>
        <v>#REF!</v>
      </c>
    </row>
    <row r="39" spans="3:21" ht="15.75" thickBot="1">
      <c r="C39" s="1465" t="s">
        <v>288</v>
      </c>
      <c r="D39" s="415"/>
      <c r="E39" s="415"/>
      <c r="F39" s="415"/>
      <c r="G39" s="415"/>
      <c r="H39" s="415"/>
      <c r="I39" s="415"/>
      <c r="J39" s="415"/>
      <c r="K39" s="1464" t="str">
        <f t="shared" si="6"/>
        <v/>
      </c>
      <c r="L39" s="1458"/>
      <c r="M39" s="415"/>
      <c r="N39" s="415"/>
      <c r="O39" s="415"/>
      <c r="P39" s="415"/>
      <c r="Q39" s="416"/>
      <c r="R39" s="1477" t="e">
        <f>Packaging!#REF!</f>
        <v>#REF!</v>
      </c>
      <c r="S39" s="417"/>
      <c r="T39" s="415"/>
      <c r="U39" s="1464" t="e">
        <f t="shared" si="7"/>
        <v>#REF!</v>
      </c>
    </row>
    <row r="40" spans="3:21" ht="15.75" thickBot="1">
      <c r="C40" s="1463" t="s">
        <v>334</v>
      </c>
      <c r="D40" s="1461">
        <f t="shared" ref="D40:K40" si="8">IF(SUM(D28:D39)=0,"",SUM(D28:D39))</f>
        <v>10010.9</v>
      </c>
      <c r="E40" s="1461" t="str">
        <f t="shared" si="8"/>
        <v/>
      </c>
      <c r="F40" s="1461" t="str">
        <f t="shared" si="8"/>
        <v/>
      </c>
      <c r="G40" s="1461">
        <f t="shared" si="8"/>
        <v>32596.200000000004</v>
      </c>
      <c r="H40" s="1461" t="str">
        <f t="shared" si="8"/>
        <v/>
      </c>
      <c r="I40" s="1461" t="str">
        <f t="shared" si="8"/>
        <v/>
      </c>
      <c r="J40" s="1461" t="str">
        <f t="shared" si="8"/>
        <v/>
      </c>
      <c r="K40" s="1461">
        <f t="shared" si="8"/>
        <v>42607.100000000006</v>
      </c>
      <c r="L40" s="1458"/>
      <c r="M40" s="1461">
        <f t="shared" ref="M40:U40" si="9">IF(SUM(M28:M39)=0,"",SUM(M28:M39))</f>
        <v>49898.369999999995</v>
      </c>
      <c r="N40" s="1461">
        <f t="shared" si="9"/>
        <v>214161.33</v>
      </c>
      <c r="O40" s="1461">
        <f t="shared" si="9"/>
        <v>4946.0974999999999</v>
      </c>
      <c r="P40" s="1461" t="str">
        <f t="shared" si="9"/>
        <v/>
      </c>
      <c r="Q40" s="1461">
        <f t="shared" si="9"/>
        <v>3847.99</v>
      </c>
      <c r="R40" s="1461" t="e">
        <f t="shared" si="9"/>
        <v>#REF!</v>
      </c>
      <c r="S40" s="1461" t="str">
        <f t="shared" si="9"/>
        <v/>
      </c>
      <c r="T40" s="1461" t="str">
        <f t="shared" si="9"/>
        <v/>
      </c>
      <c r="U40" s="1461" t="e">
        <f t="shared" si="9"/>
        <v>#REF!</v>
      </c>
    </row>
    <row r="41" spans="3:21" ht="17.25" thickBot="1">
      <c r="C41" s="1462" t="s">
        <v>335</v>
      </c>
      <c r="D41" s="1461">
        <f t="shared" ref="D41:K41" si="10">IFERROR(AVERAGE(D28:D39),"")</f>
        <v>10010.9</v>
      </c>
      <c r="E41" s="1461" t="str">
        <f t="shared" si="10"/>
        <v/>
      </c>
      <c r="F41" s="1461" t="str">
        <f t="shared" si="10"/>
        <v/>
      </c>
      <c r="G41" s="1461">
        <f t="shared" si="10"/>
        <v>32596.200000000004</v>
      </c>
      <c r="H41" s="1461" t="str">
        <f t="shared" si="10"/>
        <v/>
      </c>
      <c r="I41" s="1461" t="str">
        <f t="shared" si="10"/>
        <v/>
      </c>
      <c r="J41" s="1461" t="str">
        <f t="shared" si="10"/>
        <v/>
      </c>
      <c r="K41" s="1461">
        <f t="shared" si="10"/>
        <v>42607.100000000006</v>
      </c>
      <c r="L41" s="1458"/>
      <c r="M41" s="1461">
        <f t="shared" ref="M41:U41" si="11">IFERROR(AVERAGE(M28:M39),"")</f>
        <v>49898.369999999995</v>
      </c>
      <c r="N41" s="1461">
        <f t="shared" si="11"/>
        <v>214161.33</v>
      </c>
      <c r="O41" s="1461">
        <f t="shared" si="11"/>
        <v>4946.0974999999999</v>
      </c>
      <c r="P41" s="1461" t="str">
        <f t="shared" si="11"/>
        <v/>
      </c>
      <c r="Q41" s="1461">
        <f t="shared" si="11"/>
        <v>3847.99</v>
      </c>
      <c r="R41" s="1461" t="str">
        <f t="shared" si="11"/>
        <v/>
      </c>
      <c r="S41" s="1461" t="str">
        <f t="shared" si="11"/>
        <v/>
      </c>
      <c r="T41" s="1461" t="str">
        <f t="shared" si="11"/>
        <v/>
      </c>
      <c r="U41" s="1461" t="str">
        <f t="shared" si="11"/>
        <v/>
      </c>
    </row>
    <row r="42" spans="3:21" ht="15.75">
      <c r="C42" s="1460"/>
      <c r="D42" s="2219" t="s">
        <v>560</v>
      </c>
      <c r="E42" s="2219"/>
      <c r="F42" s="2219"/>
      <c r="G42" s="2219"/>
      <c r="H42" s="2219"/>
      <c r="I42" s="1459"/>
      <c r="J42" s="1459"/>
      <c r="K42" s="1459"/>
      <c r="L42" s="1458"/>
      <c r="M42" s="1459"/>
      <c r="N42" s="1459"/>
      <c r="O42" s="2219" t="s">
        <v>561</v>
      </c>
      <c r="P42" s="2219"/>
      <c r="Q42" s="2219"/>
      <c r="R42" s="2219"/>
      <c r="S42" s="1459"/>
      <c r="T42" s="1459"/>
      <c r="U42" s="1459"/>
    </row>
    <row r="46" spans="3:21">
      <c r="C46" s="1458" t="s">
        <v>567</v>
      </c>
    </row>
    <row r="47" spans="3:21">
      <c r="C47" s="2220" t="s">
        <v>1306</v>
      </c>
      <c r="D47" s="2220"/>
      <c r="E47" s="2220"/>
      <c r="F47" s="2220"/>
      <c r="G47" s="2220"/>
      <c r="H47" s="2220"/>
      <c r="I47" s="2220"/>
      <c r="J47" s="2220"/>
      <c r="K47" s="2220"/>
      <c r="L47" s="2220"/>
    </row>
    <row r="48" spans="3:21">
      <c r="C48" s="2220" t="s">
        <v>1307</v>
      </c>
      <c r="D48" s="2220"/>
      <c r="E48" s="2220"/>
      <c r="F48" s="2220"/>
      <c r="G48" s="2220"/>
      <c r="H48" s="2220"/>
      <c r="I48" s="2220"/>
      <c r="J48" s="2220"/>
      <c r="K48" s="2220"/>
      <c r="L48" s="2220"/>
      <c r="M48" s="2220"/>
      <c r="N48" s="2220"/>
      <c r="O48" s="2220"/>
      <c r="P48" s="2220"/>
    </row>
    <row r="49" spans="3:17">
      <c r="C49" s="2220" t="s">
        <v>1308</v>
      </c>
      <c r="D49" s="2220"/>
      <c r="E49" s="2220"/>
      <c r="F49" s="2220"/>
      <c r="G49" s="2220"/>
      <c r="H49" s="2220"/>
      <c r="I49" s="2220"/>
      <c r="J49" s="2220"/>
      <c r="K49" s="2220"/>
      <c r="L49" s="2220"/>
      <c r="M49" s="2220"/>
      <c r="N49" s="2220"/>
      <c r="O49" s="2220"/>
    </row>
    <row r="50" spans="3:17">
      <c r="C50" s="2220" t="s">
        <v>1309</v>
      </c>
      <c r="D50" s="2220"/>
      <c r="E50" s="2220"/>
      <c r="F50" s="2220"/>
      <c r="G50" s="2220"/>
      <c r="H50" s="2220"/>
      <c r="I50" s="2220"/>
      <c r="J50" s="2220"/>
    </row>
    <row r="51" spans="3:17">
      <c r="C51" s="1458"/>
    </row>
    <row r="52" spans="3:17">
      <c r="C52" s="1458" t="s">
        <v>1310</v>
      </c>
    </row>
    <row r="53" spans="3:17">
      <c r="C53" s="1458" t="s">
        <v>1311</v>
      </c>
    </row>
    <row r="54" spans="3:17">
      <c r="C54" s="2220" t="s">
        <v>1312</v>
      </c>
      <c r="D54" s="2220"/>
      <c r="E54" s="2220"/>
      <c r="F54" s="2220"/>
      <c r="G54" s="2220"/>
      <c r="H54" s="2220"/>
      <c r="I54" s="2220"/>
      <c r="J54" s="2220"/>
      <c r="K54" s="2220"/>
      <c r="L54" s="2220"/>
      <c r="M54" s="2220"/>
      <c r="N54" s="2220"/>
      <c r="O54" s="2220"/>
      <c r="P54" s="2220"/>
      <c r="Q54" s="2220"/>
    </row>
  </sheetData>
  <mergeCells count="15">
    <mergeCell ref="C49:O49"/>
    <mergeCell ref="C50:J50"/>
    <mergeCell ref="C54:Q54"/>
    <mergeCell ref="C3:K3"/>
    <mergeCell ref="M3:U3"/>
    <mergeCell ref="D19:H19"/>
    <mergeCell ref="O19:R19"/>
    <mergeCell ref="C47:L47"/>
    <mergeCell ref="C48:P48"/>
    <mergeCell ref="C1:E1"/>
    <mergeCell ref="C24:E24"/>
    <mergeCell ref="C26:K26"/>
    <mergeCell ref="M26:U26"/>
    <mergeCell ref="D42:H42"/>
    <mergeCell ref="O42:R42"/>
  </mergeCells>
  <pageMargins left="0.7" right="0.7" top="0.75" bottom="0.75" header="0.3" footer="0.3"/>
  <pageSetup orientation="portrait" r:id="rId1"/>
  <customProperties>
    <customPr name="_pios_id" r:id="rId2"/>
  </customProperties>
  <drawing r:id="rId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C90378-AA2C-4F47-AB6F-17FF29D5128F}">
  <dimension ref="A1:Q36"/>
  <sheetViews>
    <sheetView showGridLines="0" workbookViewId="0">
      <selection activeCell="A33" sqref="A33"/>
    </sheetView>
  </sheetViews>
  <sheetFormatPr defaultRowHeight="15" customHeight="1"/>
  <cols>
    <col min="1" max="1" width="22" bestFit="1" customWidth="1"/>
    <col min="2" max="2" width="2.42578125" customWidth="1"/>
    <col min="3" max="3" width="25" bestFit="1" customWidth="1"/>
    <col min="4" max="15" width="11.5703125" bestFit="1" customWidth="1"/>
    <col min="16" max="16" width="12.5703125" bestFit="1" customWidth="1"/>
    <col min="17" max="17" width="9" bestFit="1" customWidth="1"/>
    <col min="16384" max="16384" width="9.140625" bestFit="1" customWidth="1"/>
  </cols>
  <sheetData>
    <row r="1" spans="1:17" ht="23.25">
      <c r="C1" s="2214">
        <v>2023</v>
      </c>
      <c r="D1" s="2214"/>
      <c r="E1" s="2214"/>
    </row>
    <row r="2" spans="1:17"/>
    <row r="3" spans="1:17" ht="18.75">
      <c r="C3" s="2221" t="s">
        <v>1313</v>
      </c>
      <c r="D3" s="2222"/>
      <c r="E3" s="2223"/>
    </row>
    <row r="4" spans="1:17" ht="45">
      <c r="A4" s="880" t="s">
        <v>338</v>
      </c>
      <c r="C4" s="1457" t="s">
        <v>1314</v>
      </c>
      <c r="D4" s="1121" t="s">
        <v>127</v>
      </c>
      <c r="E4" s="1456" t="s">
        <v>128</v>
      </c>
      <c r="F4" s="1121" t="s">
        <v>129</v>
      </c>
      <c r="G4" s="1121" t="s">
        <v>130</v>
      </c>
      <c r="H4" s="1121" t="s">
        <v>132</v>
      </c>
      <c r="I4" s="1121" t="s">
        <v>134</v>
      </c>
      <c r="J4" s="1121" t="s">
        <v>136</v>
      </c>
      <c r="K4" s="1121" t="s">
        <v>138</v>
      </c>
      <c r="L4" s="1121" t="s">
        <v>139</v>
      </c>
      <c r="M4" s="1121" t="s">
        <v>140</v>
      </c>
      <c r="N4" s="1121" t="s">
        <v>142</v>
      </c>
      <c r="O4" s="1121" t="s">
        <v>144</v>
      </c>
      <c r="P4" s="1455" t="s">
        <v>334</v>
      </c>
      <c r="Q4" s="1454" t="s">
        <v>1315</v>
      </c>
    </row>
    <row r="5" spans="1:17">
      <c r="A5" s="882" t="s">
        <v>461</v>
      </c>
      <c r="C5" s="1453" t="s">
        <v>1316</v>
      </c>
      <c r="D5" s="1452">
        <v>1488</v>
      </c>
      <c r="E5" s="1451">
        <v>931</v>
      </c>
      <c r="F5" s="1447">
        <v>1002</v>
      </c>
      <c r="G5" s="1447">
        <v>990</v>
      </c>
      <c r="H5" s="1447">
        <v>945</v>
      </c>
      <c r="I5" s="1450">
        <v>1592</v>
      </c>
      <c r="J5" s="1449">
        <v>1273</v>
      </c>
      <c r="K5" s="1448">
        <v>1458.279</v>
      </c>
      <c r="L5" s="1448">
        <v>1780</v>
      </c>
      <c r="M5" s="1447">
        <v>1820</v>
      </c>
      <c r="N5" s="1447">
        <v>915</v>
      </c>
      <c r="O5" s="1446">
        <v>1846.72</v>
      </c>
      <c r="P5" s="1445">
        <f t="shared" ref="P5:P11" si="0">SUM(D5:O5)</f>
        <v>16040.999</v>
      </c>
      <c r="Q5" s="1444">
        <f t="shared" ref="Q5:Q11" si="1">SUM(D5:I5)</f>
        <v>6948</v>
      </c>
    </row>
    <row r="6" spans="1:17">
      <c r="A6" t="s">
        <v>242</v>
      </c>
      <c r="C6" s="1443" t="s">
        <v>1317</v>
      </c>
      <c r="D6" s="1437">
        <v>0</v>
      </c>
      <c r="E6" s="1442">
        <v>0</v>
      </c>
      <c r="F6" s="1433">
        <v>0</v>
      </c>
      <c r="G6" s="1433"/>
      <c r="H6" s="1433"/>
      <c r="I6" s="1435"/>
      <c r="J6" s="1434"/>
      <c r="K6" s="1433"/>
      <c r="L6" s="1433"/>
      <c r="M6" s="1433"/>
      <c r="N6" s="1433"/>
      <c r="O6" s="1432"/>
      <c r="P6" s="1431">
        <f t="shared" si="0"/>
        <v>0</v>
      </c>
      <c r="Q6" s="1430">
        <f t="shared" si="1"/>
        <v>0</v>
      </c>
    </row>
    <row r="7" spans="1:17">
      <c r="C7" s="1443" t="s">
        <v>1318</v>
      </c>
      <c r="D7" s="1437">
        <v>0</v>
      </c>
      <c r="E7" s="1442">
        <v>0</v>
      </c>
      <c r="F7" s="1434">
        <v>0</v>
      </c>
      <c r="G7" s="1433"/>
      <c r="H7" s="1433"/>
      <c r="I7" s="1435"/>
      <c r="J7" s="1434"/>
      <c r="K7" s="1433"/>
      <c r="L7" s="1434"/>
      <c r="M7" s="1433"/>
      <c r="N7" s="1433"/>
      <c r="O7" s="1432"/>
      <c r="P7" s="1431">
        <f t="shared" si="0"/>
        <v>0</v>
      </c>
      <c r="Q7" s="1430">
        <f t="shared" si="1"/>
        <v>0</v>
      </c>
    </row>
    <row r="8" spans="1:17">
      <c r="C8" s="1443" t="s">
        <v>1319</v>
      </c>
      <c r="D8" s="1437">
        <v>25688.992999999999</v>
      </c>
      <c r="E8" s="1442">
        <v>30119.599999999999</v>
      </c>
      <c r="F8" s="1433">
        <v>60123.400999999998</v>
      </c>
      <c r="G8" s="1433">
        <v>30344.999</v>
      </c>
      <c r="H8" s="1433">
        <v>37341.997000000003</v>
      </c>
      <c r="I8" s="1435">
        <v>40408.004999999997</v>
      </c>
      <c r="J8" s="1434">
        <v>26590</v>
      </c>
      <c r="K8" s="1433">
        <v>28936.252</v>
      </c>
      <c r="L8" s="1433">
        <v>33553.468999999997</v>
      </c>
      <c r="M8" s="1433">
        <v>37520.779000000002</v>
      </c>
      <c r="N8" s="1433">
        <v>45399.8</v>
      </c>
      <c r="O8" s="1432">
        <v>30257.1</v>
      </c>
      <c r="P8" s="1431">
        <f t="shared" si="0"/>
        <v>426284.3949999999</v>
      </c>
      <c r="Q8" s="1430">
        <f t="shared" si="1"/>
        <v>224026.995</v>
      </c>
    </row>
    <row r="9" spans="1:17">
      <c r="C9" s="1441" t="s">
        <v>1320</v>
      </c>
      <c r="D9" s="1428">
        <v>528</v>
      </c>
      <c r="E9" s="1440">
        <v>396</v>
      </c>
      <c r="F9" s="1423">
        <v>374</v>
      </c>
      <c r="G9" s="1423">
        <v>374</v>
      </c>
      <c r="H9" s="1423">
        <v>396</v>
      </c>
      <c r="I9" s="1425">
        <v>702</v>
      </c>
      <c r="J9" s="1434">
        <v>468</v>
      </c>
      <c r="K9" s="1433">
        <v>550</v>
      </c>
      <c r="L9" s="1433">
        <v>770</v>
      </c>
      <c r="M9" s="1423">
        <v>748</v>
      </c>
      <c r="N9" s="1423">
        <v>440</v>
      </c>
      <c r="O9" s="1439">
        <v>682</v>
      </c>
      <c r="P9" s="1431">
        <f t="shared" si="0"/>
        <v>6428</v>
      </c>
      <c r="Q9" s="1430">
        <f t="shared" si="1"/>
        <v>2770</v>
      </c>
    </row>
    <row r="10" spans="1:17">
      <c r="C10" s="1438" t="s">
        <v>1321</v>
      </c>
      <c r="D10" s="1437">
        <v>801.1</v>
      </c>
      <c r="E10" s="1436">
        <v>526</v>
      </c>
      <c r="F10" s="1433">
        <v>654</v>
      </c>
      <c r="G10" s="1433">
        <v>624.5</v>
      </c>
      <c r="H10" s="1433">
        <v>518</v>
      </c>
      <c r="I10" s="1435">
        <v>688.05</v>
      </c>
      <c r="J10" s="1434">
        <v>748.5</v>
      </c>
      <c r="K10" s="1433">
        <v>719</v>
      </c>
      <c r="L10" s="1433">
        <v>933</v>
      </c>
      <c r="M10" s="1433">
        <v>823</v>
      </c>
      <c r="N10" s="1433">
        <v>949.35</v>
      </c>
      <c r="O10" s="1432">
        <v>898.5</v>
      </c>
      <c r="P10" s="1431">
        <f t="shared" si="0"/>
        <v>8883</v>
      </c>
      <c r="Q10" s="1430">
        <f t="shared" si="1"/>
        <v>3811.6499999999996</v>
      </c>
    </row>
    <row r="11" spans="1:17">
      <c r="C11" s="1429" t="s">
        <v>1322</v>
      </c>
      <c r="D11" s="1428">
        <v>0</v>
      </c>
      <c r="E11" s="1427">
        <v>0</v>
      </c>
      <c r="F11" s="1423">
        <v>0</v>
      </c>
      <c r="G11" s="1426" t="s">
        <v>51</v>
      </c>
      <c r="H11" s="1423">
        <v>179.5</v>
      </c>
      <c r="I11" s="1425">
        <v>70.5</v>
      </c>
      <c r="J11" s="1424"/>
      <c r="K11" s="1423"/>
      <c r="L11" s="1423"/>
      <c r="M11" s="1423"/>
      <c r="N11" s="1423">
        <v>66.75</v>
      </c>
      <c r="O11" s="1422">
        <v>63.774999999999999</v>
      </c>
      <c r="P11" s="1421">
        <f t="shared" si="0"/>
        <v>380.52499999999998</v>
      </c>
      <c r="Q11" s="1420">
        <f t="shared" si="1"/>
        <v>250</v>
      </c>
    </row>
    <row r="12" spans="1:17">
      <c r="C12" s="1419" t="s">
        <v>1323</v>
      </c>
      <c r="D12" s="1418">
        <f t="shared" ref="D12:P12" si="2">SUM(D5:D11)</f>
        <v>28506.092999999997</v>
      </c>
      <c r="E12" s="1416">
        <f t="shared" si="2"/>
        <v>31972.6</v>
      </c>
      <c r="F12" s="1416">
        <f t="shared" si="2"/>
        <v>62153.400999999998</v>
      </c>
      <c r="G12" s="1416">
        <f t="shared" si="2"/>
        <v>32333.499</v>
      </c>
      <c r="H12" s="1417">
        <f t="shared" si="2"/>
        <v>39380.497000000003</v>
      </c>
      <c r="I12" s="1416">
        <f t="shared" si="2"/>
        <v>43460.555</v>
      </c>
      <c r="J12" s="1416">
        <f t="shared" si="2"/>
        <v>29079.5</v>
      </c>
      <c r="K12" s="1416">
        <f t="shared" si="2"/>
        <v>31663.530999999999</v>
      </c>
      <c r="L12" s="1416">
        <f t="shared" si="2"/>
        <v>37036.468999999997</v>
      </c>
      <c r="M12" s="1416">
        <f t="shared" si="2"/>
        <v>40911.779000000002</v>
      </c>
      <c r="N12" s="1416">
        <f t="shared" si="2"/>
        <v>47770.9</v>
      </c>
      <c r="O12" s="1415">
        <f t="shared" si="2"/>
        <v>33748.095000000001</v>
      </c>
      <c r="P12" s="1414">
        <f t="shared" si="2"/>
        <v>458016.91899999994</v>
      </c>
    </row>
    <row r="13" spans="1:17">
      <c r="C13" s="1410" t="s">
        <v>1254</v>
      </c>
      <c r="D13" s="1413">
        <f t="shared" ref="D13:O13" si="3">D12*1000</f>
        <v>28506092.999999996</v>
      </c>
      <c r="E13" s="1412">
        <f t="shared" si="3"/>
        <v>31972600</v>
      </c>
      <c r="F13" s="1412">
        <f t="shared" si="3"/>
        <v>62153401</v>
      </c>
      <c r="G13" s="1412">
        <f t="shared" si="3"/>
        <v>32333499</v>
      </c>
      <c r="H13" s="1412">
        <f t="shared" si="3"/>
        <v>39380497</v>
      </c>
      <c r="I13" s="1412">
        <f t="shared" si="3"/>
        <v>43460555</v>
      </c>
      <c r="J13" s="1412">
        <f t="shared" si="3"/>
        <v>29079500</v>
      </c>
      <c r="K13" s="1412">
        <f t="shared" si="3"/>
        <v>31663531</v>
      </c>
      <c r="L13" s="1412">
        <f t="shared" si="3"/>
        <v>37036469</v>
      </c>
      <c r="M13" s="1412">
        <f t="shared" si="3"/>
        <v>40911779</v>
      </c>
      <c r="N13" s="1412">
        <f t="shared" si="3"/>
        <v>47770900</v>
      </c>
      <c r="O13" s="1411">
        <f t="shared" si="3"/>
        <v>33748095</v>
      </c>
      <c r="P13" s="1407">
        <f>SUM(D13:O13)</f>
        <v>458016919</v>
      </c>
    </row>
    <row r="14" spans="1:17">
      <c r="C14" s="1410" t="s">
        <v>904</v>
      </c>
      <c r="D14" s="1413">
        <f>'Production-Ciospi'!Y5</f>
        <v>157258.49583333332</v>
      </c>
      <c r="E14" s="1412">
        <f>'Production-Ciospi'!Y6</f>
        <v>162692.98000000001</v>
      </c>
      <c r="F14" s="1412">
        <f>'Production-Ciospi'!Y7</f>
        <v>150371.86333333334</v>
      </c>
      <c r="G14" s="1412">
        <f>'Production-Ciospi'!Y8</f>
        <v>175263.78333333335</v>
      </c>
      <c r="H14" s="1412">
        <f>'Production-Ciospi'!Y9</f>
        <v>211660.26333333334</v>
      </c>
      <c r="I14" s="1412">
        <f>'Production-Ciospi'!Y10</f>
        <v>194768.66666666666</v>
      </c>
      <c r="J14" s="1412">
        <f>'Production-Ciospi'!Y11</f>
        <v>175411.07666666666</v>
      </c>
      <c r="K14" s="1412">
        <f>'Production-Ciospi'!Y12</f>
        <v>160336.92333333334</v>
      </c>
      <c r="L14" s="1412">
        <f>'Production-Ciospi'!Y13</f>
        <v>131074.92462499999</v>
      </c>
      <c r="M14" s="1412">
        <f>'Production-Ciospi'!Y14</f>
        <v>157888.54999999999</v>
      </c>
      <c r="N14" s="1412">
        <f>'Production-Ciospi'!Y15</f>
        <v>176827.69500000001</v>
      </c>
      <c r="O14" s="1411">
        <f>'Production-Ciospi'!Y16</f>
        <v>155998.29958333331</v>
      </c>
      <c r="P14" s="1407"/>
    </row>
    <row r="15" spans="1:17">
      <c r="C15" s="1410" t="s">
        <v>320</v>
      </c>
      <c r="D15" s="1409">
        <f t="shared" ref="D15:O15" si="4">D13/D14</f>
        <v>181.26901728865258</v>
      </c>
      <c r="E15" s="1408">
        <f t="shared" si="4"/>
        <v>196.52107915166346</v>
      </c>
      <c r="F15" s="1408">
        <f t="shared" si="4"/>
        <v>413.33132157990815</v>
      </c>
      <c r="G15" s="1408">
        <f t="shared" si="4"/>
        <v>184.48477138317318</v>
      </c>
      <c r="H15" s="1408">
        <f t="shared" si="4"/>
        <v>186.05522066265974</v>
      </c>
      <c r="I15" s="1408">
        <f t="shared" si="4"/>
        <v>223.13935677538825</v>
      </c>
      <c r="J15" s="1408">
        <f t="shared" si="4"/>
        <v>165.77915461553047</v>
      </c>
      <c r="K15" s="1408">
        <f t="shared" si="4"/>
        <v>197.48121855982558</v>
      </c>
      <c r="L15" s="1408">
        <f t="shared" si="4"/>
        <v>282.55952926129714</v>
      </c>
      <c r="M15" s="1408">
        <f t="shared" si="4"/>
        <v>259.11808677703357</v>
      </c>
      <c r="N15" s="1408">
        <f t="shared" si="4"/>
        <v>270.15507949702106</v>
      </c>
      <c r="O15" s="1408">
        <f t="shared" si="4"/>
        <v>216.33630039647952</v>
      </c>
      <c r="P15" s="1407"/>
    </row>
    <row r="16" spans="1:17">
      <c r="C16" s="1406" t="s">
        <v>1324</v>
      </c>
      <c r="D16" s="2224">
        <f>SUM(D14:O14)</f>
        <v>2009553.5217083334</v>
      </c>
      <c r="E16" s="2225"/>
      <c r="F16" s="2225"/>
      <c r="G16" s="2225"/>
      <c r="H16" s="2225"/>
      <c r="I16" s="2225"/>
      <c r="J16" s="2225"/>
      <c r="K16" s="2225"/>
      <c r="L16" s="2225"/>
      <c r="M16" s="2225"/>
      <c r="N16" s="2225"/>
      <c r="O16" s="2225"/>
      <c r="P16" s="2226"/>
    </row>
    <row r="17" spans="1:17">
      <c r="C17" s="1405" t="s">
        <v>1184</v>
      </c>
      <c r="D17" s="2224">
        <f>P13/D16</f>
        <v>227.91974140138208</v>
      </c>
      <c r="E17" s="2225"/>
      <c r="F17" s="2225"/>
      <c r="G17" s="2225"/>
      <c r="H17" s="2225"/>
      <c r="I17" s="2225"/>
      <c r="J17" s="2225"/>
      <c r="K17" s="2225"/>
      <c r="L17" s="2225"/>
      <c r="M17" s="2225"/>
      <c r="N17" s="2225"/>
      <c r="O17" s="2225"/>
      <c r="P17" s="2226"/>
    </row>
    <row r="19" spans="1:17">
      <c r="D19" s="475"/>
      <c r="E19" s="475"/>
    </row>
    <row r="20" spans="1:17" ht="23.25">
      <c r="C20" s="2214">
        <v>2024</v>
      </c>
      <c r="D20" s="2214"/>
      <c r="E20" s="2214"/>
    </row>
    <row r="21" spans="1:17"/>
    <row r="22" spans="1:17" ht="18.75">
      <c r="C22" s="2221" t="s">
        <v>1325</v>
      </c>
      <c r="D22" s="2222"/>
      <c r="E22" s="2223"/>
    </row>
    <row r="23" spans="1:17" ht="45">
      <c r="A23" s="1841" t="s">
        <v>1326</v>
      </c>
      <c r="C23" s="1457" t="s">
        <v>1314</v>
      </c>
      <c r="D23" s="1121" t="s">
        <v>127</v>
      </c>
      <c r="E23" s="1456" t="s">
        <v>128</v>
      </c>
      <c r="F23" s="1121" t="s">
        <v>129</v>
      </c>
      <c r="G23" s="1121" t="s">
        <v>130</v>
      </c>
      <c r="H23" s="1121" t="s">
        <v>132</v>
      </c>
      <c r="I23" s="1121" t="s">
        <v>134</v>
      </c>
      <c r="J23" s="1121" t="s">
        <v>136</v>
      </c>
      <c r="K23" s="1121" t="s">
        <v>138</v>
      </c>
      <c r="L23" s="1121" t="s">
        <v>139</v>
      </c>
      <c r="M23" s="1121" t="s">
        <v>140</v>
      </c>
      <c r="N23" s="1121" t="s">
        <v>142</v>
      </c>
      <c r="O23" s="1121" t="s">
        <v>144</v>
      </c>
      <c r="P23" s="1455" t="s">
        <v>334</v>
      </c>
      <c r="Q23" s="1454" t="s">
        <v>1315</v>
      </c>
    </row>
    <row r="24" spans="1:17">
      <c r="A24" s="1838"/>
      <c r="C24" s="1453" t="s">
        <v>1316</v>
      </c>
      <c r="D24" s="1452">
        <v>1515</v>
      </c>
      <c r="E24" s="1451"/>
      <c r="F24" s="1447"/>
      <c r="G24" s="1447"/>
      <c r="H24" s="1447"/>
      <c r="I24" s="1450"/>
      <c r="J24" s="1449"/>
      <c r="K24" s="1448"/>
      <c r="L24" s="1448"/>
      <c r="M24" s="1447"/>
      <c r="N24" s="1447"/>
      <c r="O24" s="1446"/>
      <c r="P24" s="1445">
        <f t="shared" ref="P24:P30" si="5">SUM(D24:O24)</f>
        <v>1515</v>
      </c>
      <c r="Q24" s="1444">
        <f t="shared" ref="Q24:Q30" si="6">SUM(D24:I24)</f>
        <v>1515</v>
      </c>
    </row>
    <row r="25" spans="1:17">
      <c r="A25" s="1839"/>
      <c r="C25" s="1443" t="s">
        <v>1317</v>
      </c>
      <c r="D25" s="1437"/>
      <c r="E25" s="1442"/>
      <c r="F25" s="1433"/>
      <c r="G25" s="1433"/>
      <c r="H25" s="1433"/>
      <c r="I25" s="1435"/>
      <c r="J25" s="1434"/>
      <c r="K25" s="1433"/>
      <c r="L25" s="1433"/>
      <c r="M25" s="1433"/>
      <c r="N25" s="1433"/>
      <c r="O25" s="1432"/>
      <c r="P25" s="1431">
        <f t="shared" si="5"/>
        <v>0</v>
      </c>
      <c r="Q25" s="1430">
        <f t="shared" si="6"/>
        <v>0</v>
      </c>
    </row>
    <row r="26" spans="1:17">
      <c r="A26" s="1839"/>
      <c r="C26" s="1443" t="s">
        <v>1318</v>
      </c>
      <c r="D26" s="1437"/>
      <c r="E26" s="1442"/>
      <c r="F26" s="1434"/>
      <c r="G26" s="1433"/>
      <c r="H26" s="1433"/>
      <c r="I26" s="1435"/>
      <c r="J26" s="1434"/>
      <c r="K26" s="1433"/>
      <c r="L26" s="1434"/>
      <c r="M26" s="1433"/>
      <c r="N26" s="1433"/>
      <c r="O26" s="1432"/>
      <c r="P26" s="1431">
        <f t="shared" si="5"/>
        <v>0</v>
      </c>
      <c r="Q26" s="1430">
        <f t="shared" si="6"/>
        <v>0</v>
      </c>
    </row>
    <row r="27" spans="1:17">
      <c r="A27" s="1839"/>
      <c r="C27" s="1443" t="s">
        <v>1319</v>
      </c>
      <c r="D27" s="1437">
        <v>32949.760000000002</v>
      </c>
      <c r="E27" s="1442"/>
      <c r="F27" s="1433"/>
      <c r="G27" s="1433"/>
      <c r="H27" s="1433"/>
      <c r="I27" s="1435"/>
      <c r="J27" s="1434"/>
      <c r="K27" s="1433"/>
      <c r="L27" s="1433"/>
      <c r="M27" s="1433"/>
      <c r="N27" s="1433"/>
      <c r="O27" s="1432"/>
      <c r="P27" s="1431">
        <f t="shared" si="5"/>
        <v>32949.760000000002</v>
      </c>
      <c r="Q27" s="1430">
        <f t="shared" si="6"/>
        <v>32949.760000000002</v>
      </c>
    </row>
    <row r="28" spans="1:17">
      <c r="A28" s="1839"/>
      <c r="C28" s="1441" t="s">
        <v>1320</v>
      </c>
      <c r="D28" s="1428">
        <v>528</v>
      </c>
      <c r="E28" s="1440"/>
      <c r="F28" s="1423"/>
      <c r="G28" s="1423"/>
      <c r="H28" s="1423"/>
      <c r="I28" s="1425"/>
      <c r="J28" s="1434"/>
      <c r="K28" s="1433"/>
      <c r="L28" s="1433"/>
      <c r="M28" s="1423"/>
      <c r="N28" s="1423"/>
      <c r="O28" s="1439"/>
      <c r="P28" s="1431">
        <f t="shared" si="5"/>
        <v>528</v>
      </c>
      <c r="Q28" s="1430">
        <f t="shared" si="6"/>
        <v>528</v>
      </c>
    </row>
    <row r="29" spans="1:17">
      <c r="A29" s="1839"/>
      <c r="C29" s="1438" t="s">
        <v>1321</v>
      </c>
      <c r="D29" s="1437">
        <v>1071.7750000000001</v>
      </c>
      <c r="E29" s="1436"/>
      <c r="F29" s="1433"/>
      <c r="G29" s="1433"/>
      <c r="H29" s="1433"/>
      <c r="I29" s="1435"/>
      <c r="J29" s="1434"/>
      <c r="K29" s="1433"/>
      <c r="L29" s="1433"/>
      <c r="M29" s="1433"/>
      <c r="N29" s="1433"/>
      <c r="O29" s="1432"/>
      <c r="P29" s="1431">
        <f t="shared" si="5"/>
        <v>1071.7750000000001</v>
      </c>
      <c r="Q29" s="1430">
        <f t="shared" si="6"/>
        <v>1071.7750000000001</v>
      </c>
    </row>
    <row r="30" spans="1:17">
      <c r="A30" s="1840"/>
      <c r="C30" s="1429" t="s">
        <v>1322</v>
      </c>
      <c r="D30" s="1428">
        <v>201.47499999999999</v>
      </c>
      <c r="E30" s="1427"/>
      <c r="F30" s="1423"/>
      <c r="G30" s="1426"/>
      <c r="H30" s="1423"/>
      <c r="I30" s="1425"/>
      <c r="J30" s="1424"/>
      <c r="K30" s="1423"/>
      <c r="L30" s="1423"/>
      <c r="M30" s="1423"/>
      <c r="N30" s="1423"/>
      <c r="O30" s="1422"/>
      <c r="P30" s="1421">
        <f t="shared" si="5"/>
        <v>201.47499999999999</v>
      </c>
      <c r="Q30" s="1420">
        <f t="shared" si="6"/>
        <v>201.47499999999999</v>
      </c>
    </row>
    <row r="31" spans="1:17">
      <c r="C31" s="1419" t="s">
        <v>1323</v>
      </c>
      <c r="D31" s="1418">
        <f t="shared" ref="D31:P31" si="7">SUM(D24:D30)</f>
        <v>36266.01</v>
      </c>
      <c r="E31" s="1416">
        <f t="shared" si="7"/>
        <v>0</v>
      </c>
      <c r="F31" s="1416">
        <f t="shared" si="7"/>
        <v>0</v>
      </c>
      <c r="G31" s="1416">
        <f t="shared" si="7"/>
        <v>0</v>
      </c>
      <c r="H31" s="1417">
        <f t="shared" si="7"/>
        <v>0</v>
      </c>
      <c r="I31" s="1416">
        <f t="shared" si="7"/>
        <v>0</v>
      </c>
      <c r="J31" s="1416">
        <f t="shared" si="7"/>
        <v>0</v>
      </c>
      <c r="K31" s="1416">
        <f t="shared" si="7"/>
        <v>0</v>
      </c>
      <c r="L31" s="1416">
        <f t="shared" si="7"/>
        <v>0</v>
      </c>
      <c r="M31" s="1416">
        <f t="shared" si="7"/>
        <v>0</v>
      </c>
      <c r="N31" s="1416">
        <f t="shared" si="7"/>
        <v>0</v>
      </c>
      <c r="O31" s="1415">
        <f t="shared" si="7"/>
        <v>0</v>
      </c>
      <c r="P31" s="1414">
        <f t="shared" si="7"/>
        <v>36266.01</v>
      </c>
    </row>
    <row r="32" spans="1:17">
      <c r="C32" s="1410" t="s">
        <v>1254</v>
      </c>
      <c r="D32" s="1413">
        <f t="shared" ref="D32:O32" si="8">D31*1000</f>
        <v>36266010</v>
      </c>
      <c r="E32" s="1412">
        <f t="shared" si="8"/>
        <v>0</v>
      </c>
      <c r="F32" s="1412">
        <f t="shared" si="8"/>
        <v>0</v>
      </c>
      <c r="G32" s="1412">
        <f t="shared" si="8"/>
        <v>0</v>
      </c>
      <c r="H32" s="1412">
        <f t="shared" si="8"/>
        <v>0</v>
      </c>
      <c r="I32" s="1412">
        <f t="shared" si="8"/>
        <v>0</v>
      </c>
      <c r="J32" s="1412">
        <f t="shared" si="8"/>
        <v>0</v>
      </c>
      <c r="K32" s="1412">
        <f t="shared" si="8"/>
        <v>0</v>
      </c>
      <c r="L32" s="1412">
        <f t="shared" si="8"/>
        <v>0</v>
      </c>
      <c r="M32" s="1412">
        <f t="shared" si="8"/>
        <v>0</v>
      </c>
      <c r="N32" s="1412">
        <f t="shared" si="8"/>
        <v>0</v>
      </c>
      <c r="O32" s="1411">
        <f t="shared" si="8"/>
        <v>0</v>
      </c>
      <c r="P32" s="1407">
        <f>SUM(D32:O32)</f>
        <v>36266010</v>
      </c>
    </row>
    <row r="33" spans="3:16">
      <c r="C33" s="1410" t="s">
        <v>904</v>
      </c>
      <c r="D33" s="1413">
        <f>'Production-Ciospi'!Y27</f>
        <v>167055.83333333334</v>
      </c>
      <c r="E33" s="1412">
        <f>'Production-Ciospi'!Y28</f>
        <v>0</v>
      </c>
      <c r="F33" s="1412">
        <f>'Production-Ciospi'!Y29</f>
        <v>0</v>
      </c>
      <c r="G33" s="1412">
        <f>'Production-Ciospi'!Y30</f>
        <v>0</v>
      </c>
      <c r="H33" s="1412">
        <f>'Production-Ciospi'!Y31</f>
        <v>0</v>
      </c>
      <c r="I33" s="1412">
        <f>'Production-Ciospi'!Y32</f>
        <v>0</v>
      </c>
      <c r="J33" s="1412">
        <f>'Production-Ciospi'!Y33</f>
        <v>0</v>
      </c>
      <c r="K33" s="1412">
        <f>'Production-Ciospi'!Y34</f>
        <v>0</v>
      </c>
      <c r="L33" s="1412">
        <f>'Production-Ciospi'!Y35</f>
        <v>0</v>
      </c>
      <c r="M33" s="1412">
        <f>'Production-Ciospi'!Y36</f>
        <v>0</v>
      </c>
      <c r="N33" s="1412">
        <f>'Production-Ciospi'!Y37</f>
        <v>0</v>
      </c>
      <c r="O33" s="1411">
        <f>'Production-Ciospi'!Y38</f>
        <v>0</v>
      </c>
      <c r="P33" s="1407"/>
    </row>
    <row r="34" spans="3:16">
      <c r="C34" s="1410" t="s">
        <v>320</v>
      </c>
      <c r="D34" s="1409">
        <f>IFERROR(D32/D33,"")</f>
        <v>217.08915681882803</v>
      </c>
      <c r="E34" s="1409" t="str">
        <f t="shared" ref="E34:O34" si="9">IFERROR(E32/E33,"")</f>
        <v/>
      </c>
      <c r="F34" s="1409" t="str">
        <f t="shared" si="9"/>
        <v/>
      </c>
      <c r="G34" s="1409" t="str">
        <f t="shared" si="9"/>
        <v/>
      </c>
      <c r="H34" s="1409" t="str">
        <f t="shared" si="9"/>
        <v/>
      </c>
      <c r="I34" s="1409" t="str">
        <f t="shared" si="9"/>
        <v/>
      </c>
      <c r="J34" s="1409" t="str">
        <f t="shared" si="9"/>
        <v/>
      </c>
      <c r="K34" s="1409" t="str">
        <f t="shared" si="9"/>
        <v/>
      </c>
      <c r="L34" s="1409" t="str">
        <f t="shared" si="9"/>
        <v/>
      </c>
      <c r="M34" s="1409" t="str">
        <f t="shared" si="9"/>
        <v/>
      </c>
      <c r="N34" s="1409" t="str">
        <f t="shared" si="9"/>
        <v/>
      </c>
      <c r="O34" s="1409" t="str">
        <f t="shared" si="9"/>
        <v/>
      </c>
      <c r="P34" s="1407"/>
    </row>
    <row r="35" spans="3:16">
      <c r="C35" s="1406" t="s">
        <v>1324</v>
      </c>
      <c r="D35" s="2224">
        <f>SUM(D33:O33)</f>
        <v>167055.83333333334</v>
      </c>
      <c r="E35" s="2225"/>
      <c r="F35" s="2225"/>
      <c r="G35" s="2225"/>
      <c r="H35" s="2225"/>
      <c r="I35" s="2225"/>
      <c r="J35" s="2225"/>
      <c r="K35" s="2225"/>
      <c r="L35" s="2225"/>
      <c r="M35" s="2225"/>
      <c r="N35" s="2225"/>
      <c r="O35" s="2225"/>
      <c r="P35" s="2226"/>
    </row>
    <row r="36" spans="3:16">
      <c r="C36" s="1405" t="s">
        <v>1184</v>
      </c>
      <c r="D36" s="2224">
        <f>IFERROR(P32/D35, "")</f>
        <v>217.08915681882803</v>
      </c>
      <c r="E36" s="2225"/>
      <c r="F36" s="2225"/>
      <c r="G36" s="2225"/>
      <c r="H36" s="2225"/>
      <c r="I36" s="2225"/>
      <c r="J36" s="2225"/>
      <c r="K36" s="2225"/>
      <c r="L36" s="2225"/>
      <c r="M36" s="2225"/>
      <c r="N36" s="2225"/>
      <c r="O36" s="2225"/>
      <c r="P36" s="2226"/>
    </row>
  </sheetData>
  <mergeCells count="8">
    <mergeCell ref="C1:E1"/>
    <mergeCell ref="C20:E20"/>
    <mergeCell ref="C22:E22"/>
    <mergeCell ref="D35:P35"/>
    <mergeCell ref="D36:P36"/>
    <mergeCell ref="C3:E3"/>
    <mergeCell ref="D16:P16"/>
    <mergeCell ref="D17:P17"/>
  </mergeCells>
  <pageMargins left="0.7" right="0.7" top="0.75" bottom="0.75" header="0.3" footer="0.3"/>
  <customProperties>
    <customPr name="_pios_id" r:id="rId1"/>
  </customProperties>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46741-7A35-4909-8C82-33D0408ED215}">
  <dimension ref="A1:T55"/>
  <sheetViews>
    <sheetView showGridLines="0" zoomScaleNormal="100" workbookViewId="0">
      <selection activeCell="C4" sqref="C4:D20"/>
    </sheetView>
  </sheetViews>
  <sheetFormatPr defaultRowHeight="15"/>
  <cols>
    <col min="1" max="1" width="22" bestFit="1" customWidth="1"/>
    <col min="2" max="2" width="1.85546875" customWidth="1"/>
    <col min="3" max="3" width="12.28515625" bestFit="1" customWidth="1"/>
    <col min="4" max="4" width="39.42578125" bestFit="1" customWidth="1"/>
    <col min="5" max="14" width="9.5703125" bestFit="1" customWidth="1"/>
    <col min="15" max="15" width="9.28515625" customWidth="1"/>
    <col min="16" max="16" width="9" bestFit="1" customWidth="1"/>
    <col min="17" max="17" width="10.7109375" bestFit="1" customWidth="1"/>
    <col min="18" max="18" width="11.140625" bestFit="1" customWidth="1"/>
  </cols>
  <sheetData>
    <row r="1" spans="1:19" ht="23.25">
      <c r="C1" s="2214">
        <v>2023</v>
      </c>
      <c r="D1" s="2214"/>
      <c r="E1" s="2214"/>
    </row>
    <row r="2" spans="1:19" ht="15.75" thickBot="1"/>
    <row r="3" spans="1:19" ht="15.75" thickBot="1">
      <c r="A3" s="880" t="s">
        <v>338</v>
      </c>
      <c r="C3" s="1376" t="s">
        <v>1262</v>
      </c>
      <c r="D3" s="1377" t="s">
        <v>1314</v>
      </c>
      <c r="E3" s="1378">
        <v>44927</v>
      </c>
      <c r="F3" s="1378">
        <v>44958</v>
      </c>
      <c r="G3" s="1378">
        <v>44986</v>
      </c>
      <c r="H3" s="1378">
        <v>45017</v>
      </c>
      <c r="I3" s="1378">
        <v>45047</v>
      </c>
      <c r="J3" s="1378">
        <v>45078</v>
      </c>
      <c r="K3" s="1378">
        <v>45108</v>
      </c>
      <c r="L3" s="1378">
        <v>45139</v>
      </c>
      <c r="M3" s="1378">
        <v>45170</v>
      </c>
      <c r="N3" s="1378">
        <v>45200</v>
      </c>
      <c r="O3" s="1378">
        <v>45231</v>
      </c>
      <c r="P3" s="1378">
        <v>45261</v>
      </c>
      <c r="Q3" s="1379"/>
      <c r="R3" s="1379"/>
      <c r="S3" s="1379"/>
    </row>
    <row r="4" spans="1:19">
      <c r="A4" s="882" t="s">
        <v>1327</v>
      </c>
      <c r="C4" s="1297">
        <v>3100000152</v>
      </c>
      <c r="D4" s="1040" t="s">
        <v>1328</v>
      </c>
      <c r="E4" s="1049">
        <v>0</v>
      </c>
      <c r="F4" s="1049">
        <v>0</v>
      </c>
      <c r="G4" s="1380">
        <v>0</v>
      </c>
      <c r="H4" s="1381"/>
      <c r="I4" s="1381">
        <v>0</v>
      </c>
      <c r="J4" s="1381"/>
      <c r="K4" s="1381">
        <v>422.85</v>
      </c>
      <c r="L4" s="1381"/>
      <c r="M4" s="1382"/>
      <c r="N4" s="1381"/>
      <c r="O4" s="1381"/>
      <c r="P4" s="1381"/>
      <c r="Q4" s="1383"/>
      <c r="R4" s="1383"/>
      <c r="S4" s="1383"/>
    </row>
    <row r="5" spans="1:19">
      <c r="A5" t="s">
        <v>242</v>
      </c>
      <c r="C5" s="1297">
        <v>3100000734</v>
      </c>
      <c r="D5" s="612" t="s">
        <v>1329</v>
      </c>
      <c r="E5" s="1049">
        <v>0</v>
      </c>
      <c r="F5" s="1049">
        <v>0</v>
      </c>
      <c r="G5" s="1380">
        <v>1202.76</v>
      </c>
      <c r="H5" s="1384"/>
      <c r="I5" s="1381">
        <v>1999.479</v>
      </c>
      <c r="J5" s="1384"/>
      <c r="K5" s="1381"/>
      <c r="L5" s="1381"/>
      <c r="M5" s="1382"/>
      <c r="N5" s="1381"/>
      <c r="O5" s="1381"/>
      <c r="P5" s="1381"/>
      <c r="Q5" s="1383"/>
      <c r="R5" s="1383"/>
      <c r="S5" s="1383"/>
    </row>
    <row r="6" spans="1:19">
      <c r="C6" s="1297">
        <v>3100001823</v>
      </c>
      <c r="D6" s="612" t="s">
        <v>1330</v>
      </c>
      <c r="E6" s="1049">
        <v>0</v>
      </c>
      <c r="F6" s="1049">
        <v>0</v>
      </c>
      <c r="G6" s="1380">
        <v>1853.83</v>
      </c>
      <c r="H6" s="1384"/>
      <c r="I6" s="1381">
        <v>18.16</v>
      </c>
      <c r="J6" s="1384"/>
      <c r="K6" s="1381"/>
      <c r="L6" s="1381"/>
      <c r="M6" s="1382"/>
      <c r="N6" s="1381"/>
      <c r="O6" s="1381"/>
      <c r="P6" s="1381"/>
      <c r="Q6" s="1383"/>
      <c r="R6" s="1383"/>
      <c r="S6" s="1383"/>
    </row>
    <row r="7" spans="1:19">
      <c r="C7" s="1297">
        <v>3100001828</v>
      </c>
      <c r="D7" s="612" t="s">
        <v>1331</v>
      </c>
      <c r="E7" s="1049">
        <v>9645.5769999999993</v>
      </c>
      <c r="F7" s="1049">
        <v>5666.1989999999996</v>
      </c>
      <c r="G7" s="1380">
        <v>1006.865</v>
      </c>
      <c r="H7" s="1384">
        <v>9725.5689999999995</v>
      </c>
      <c r="I7" s="1381">
        <v>0</v>
      </c>
      <c r="J7" s="1384">
        <v>1436.9</v>
      </c>
      <c r="K7" s="1381">
        <v>7568.9139999999998</v>
      </c>
      <c r="L7" s="1381">
        <v>8962.9159999999993</v>
      </c>
      <c r="M7" s="1382">
        <v>722.00599999999997</v>
      </c>
      <c r="N7" s="1381">
        <v>798.03200000000004</v>
      </c>
      <c r="O7" s="1381">
        <v>7078.6219999999994</v>
      </c>
      <c r="P7" s="1381"/>
      <c r="Q7" s="1383"/>
      <c r="R7" s="1383"/>
      <c r="S7" s="1383"/>
    </row>
    <row r="8" spans="1:19">
      <c r="C8" s="1297">
        <v>3100001829</v>
      </c>
      <c r="D8" s="612" t="s">
        <v>1332</v>
      </c>
      <c r="E8" s="1049">
        <v>315.005</v>
      </c>
      <c r="F8" s="1049">
        <v>0</v>
      </c>
      <c r="G8" s="1380">
        <v>433.63499999999999</v>
      </c>
      <c r="H8" s="1384">
        <v>900.01099999999997</v>
      </c>
      <c r="I8" s="1381">
        <v>3497.9070000000002</v>
      </c>
      <c r="J8" s="1384"/>
      <c r="K8" s="1381">
        <v>1863.325</v>
      </c>
      <c r="L8" s="1381"/>
      <c r="M8" s="1382"/>
      <c r="N8" s="1381"/>
      <c r="O8" s="1381">
        <v>1758.511</v>
      </c>
      <c r="P8" s="1381"/>
      <c r="Q8" s="1383"/>
      <c r="R8" s="1383"/>
      <c r="S8" s="1383"/>
    </row>
    <row r="9" spans="1:19">
      <c r="C9" s="1297">
        <v>3100001836</v>
      </c>
      <c r="D9" s="612" t="s">
        <v>1333</v>
      </c>
      <c r="E9" s="1049">
        <v>0</v>
      </c>
      <c r="F9" s="1049">
        <v>0</v>
      </c>
      <c r="G9" s="1380">
        <v>0</v>
      </c>
      <c r="H9" s="1384"/>
      <c r="I9" s="1381">
        <v>0</v>
      </c>
      <c r="J9" s="1384"/>
      <c r="K9" s="1381"/>
      <c r="L9" s="1381"/>
      <c r="M9" s="1382"/>
      <c r="N9" s="1381"/>
      <c r="O9" s="1381"/>
      <c r="P9" s="1381"/>
      <c r="Q9" s="1383"/>
      <c r="R9" s="1383"/>
      <c r="S9" s="1383"/>
    </row>
    <row r="10" spans="1:19">
      <c r="C10" s="1297">
        <v>3100001837</v>
      </c>
      <c r="D10" s="612" t="s">
        <v>1334</v>
      </c>
      <c r="E10" s="1049">
        <v>1331.597</v>
      </c>
      <c r="F10" s="1049">
        <v>42.924999999999997</v>
      </c>
      <c r="G10" s="1380">
        <v>408.4</v>
      </c>
      <c r="H10" s="1384">
        <v>781.11199999999997</v>
      </c>
      <c r="I10" s="1381">
        <v>209.12</v>
      </c>
      <c r="J10" s="1384"/>
      <c r="K10" s="1381">
        <v>217.92</v>
      </c>
      <c r="L10" s="1381">
        <v>214.91</v>
      </c>
      <c r="M10" s="1382"/>
      <c r="N10" s="1381"/>
      <c r="O10" s="1381">
        <v>537.80999999999995</v>
      </c>
      <c r="P10" s="1381"/>
      <c r="Q10" s="1383"/>
      <c r="R10" s="1383"/>
      <c r="S10" s="1383"/>
    </row>
    <row r="11" spans="1:19">
      <c r="C11" s="1297">
        <v>3100001838</v>
      </c>
      <c r="D11" s="612" t="s">
        <v>1335</v>
      </c>
      <c r="E11" s="1049">
        <v>0</v>
      </c>
      <c r="F11" s="1049">
        <v>0</v>
      </c>
      <c r="G11" s="1380">
        <v>887.1</v>
      </c>
      <c r="H11" s="1384"/>
      <c r="I11" s="1381">
        <v>4552.8919999999998</v>
      </c>
      <c r="J11" s="1384"/>
      <c r="K11" s="1381">
        <v>1139.788</v>
      </c>
      <c r="L11" s="1381"/>
      <c r="M11" s="1382"/>
      <c r="N11" s="1381"/>
      <c r="O11" s="1381"/>
      <c r="P11" s="1381"/>
      <c r="Q11" s="1383"/>
      <c r="R11" s="1383"/>
      <c r="S11" s="1383"/>
    </row>
    <row r="12" spans="1:19">
      <c r="C12" s="1297">
        <v>3100001920</v>
      </c>
      <c r="D12" s="612" t="s">
        <v>1336</v>
      </c>
      <c r="E12" s="1049">
        <v>3539.7680000000005</v>
      </c>
      <c r="F12" s="1049">
        <v>1135.22</v>
      </c>
      <c r="G12" s="1380">
        <v>1189.098</v>
      </c>
      <c r="H12" s="1384">
        <v>1187.223</v>
      </c>
      <c r="I12" s="1381">
        <v>257.94600000000003</v>
      </c>
      <c r="J12" s="1384">
        <v>7061.4179999999997</v>
      </c>
      <c r="K12" s="1381">
        <v>1245.693</v>
      </c>
      <c r="L12" s="1381">
        <v>874.60799999999995</v>
      </c>
      <c r="M12" s="1382">
        <v>779.48199999999997</v>
      </c>
      <c r="N12" s="1381">
        <v>3201.442</v>
      </c>
      <c r="O12" s="1381">
        <v>3016.0709999999999</v>
      </c>
      <c r="P12" s="1381">
        <v>8182.95</v>
      </c>
      <c r="Q12" s="1383"/>
      <c r="R12" s="1383"/>
      <c r="S12" s="1383"/>
    </row>
    <row r="13" spans="1:19">
      <c r="C13" s="1297">
        <v>3100004746</v>
      </c>
      <c r="D13" s="612" t="s">
        <v>1337</v>
      </c>
      <c r="E13" s="1049">
        <v>0</v>
      </c>
      <c r="F13" s="1049">
        <v>0</v>
      </c>
      <c r="G13" s="1380">
        <v>0</v>
      </c>
      <c r="H13" s="1384"/>
      <c r="I13" s="1381">
        <v>133.10599999999999</v>
      </c>
      <c r="J13" s="1384"/>
      <c r="K13" s="1381"/>
      <c r="L13" s="1381"/>
      <c r="M13" s="1382"/>
      <c r="N13" s="1381"/>
      <c r="O13" s="1381"/>
      <c r="P13" s="1381"/>
      <c r="Q13" s="1383"/>
      <c r="R13" s="1383"/>
      <c r="S13" s="1383"/>
    </row>
    <row r="14" spans="1:19">
      <c r="C14" s="1297">
        <v>3100001831</v>
      </c>
      <c r="D14" s="612" t="s">
        <v>1338</v>
      </c>
      <c r="E14" s="1049">
        <v>0</v>
      </c>
      <c r="F14" s="1049">
        <v>0</v>
      </c>
      <c r="G14" s="1380">
        <v>0</v>
      </c>
      <c r="H14" s="1384"/>
      <c r="I14" s="1381">
        <v>0</v>
      </c>
      <c r="J14" s="1384"/>
      <c r="K14" s="1381"/>
      <c r="L14" s="1381"/>
      <c r="M14" s="1382"/>
      <c r="N14" s="1381"/>
      <c r="O14" s="1381"/>
      <c r="P14" s="1381"/>
      <c r="Q14" s="1383"/>
      <c r="R14" s="1383"/>
      <c r="S14" s="1383"/>
    </row>
    <row r="15" spans="1:19">
      <c r="C15" s="1297">
        <v>3100002000</v>
      </c>
      <c r="D15" s="612" t="s">
        <v>1339</v>
      </c>
      <c r="E15" s="1049">
        <v>1134.68</v>
      </c>
      <c r="F15" s="1049">
        <v>4121.24</v>
      </c>
      <c r="G15" s="1380">
        <v>11088.46</v>
      </c>
      <c r="H15" s="1384">
        <v>223.48</v>
      </c>
      <c r="I15" s="1381">
        <v>10527.89</v>
      </c>
      <c r="J15" s="1384">
        <v>972.27</v>
      </c>
      <c r="K15" s="1381">
        <v>766.75</v>
      </c>
      <c r="L15" s="1381">
        <v>242.34</v>
      </c>
      <c r="M15" s="1382">
        <v>266.55</v>
      </c>
      <c r="N15" s="1381">
        <v>4373.83</v>
      </c>
      <c r="O15" s="1381">
        <v>5473.2820000000002</v>
      </c>
      <c r="P15" s="1381"/>
      <c r="Q15" s="1383"/>
      <c r="R15" s="1383"/>
      <c r="S15" s="1383"/>
    </row>
    <row r="16" spans="1:19">
      <c r="C16" s="1297">
        <v>3100002308</v>
      </c>
      <c r="D16" s="612" t="s">
        <v>1340</v>
      </c>
      <c r="E16" s="1049">
        <v>2978.9069999999997</v>
      </c>
      <c r="F16" s="1049">
        <v>9670.9950000000008</v>
      </c>
      <c r="G16" s="1380">
        <v>0</v>
      </c>
      <c r="H16" s="1384"/>
      <c r="I16" s="1381">
        <v>17499.75</v>
      </c>
      <c r="J16" s="1384">
        <v>1701.22</v>
      </c>
      <c r="K16" s="1381">
        <v>14097.359</v>
      </c>
      <c r="L16" s="1381">
        <v>1794.14</v>
      </c>
      <c r="M16" s="1382"/>
      <c r="N16" s="1381"/>
      <c r="O16" s="1381">
        <v>3888.58</v>
      </c>
      <c r="P16" s="1381">
        <v>5708.26</v>
      </c>
      <c r="Q16" s="1383"/>
      <c r="R16" s="1383"/>
      <c r="S16" s="1383"/>
    </row>
    <row r="17" spans="3:20">
      <c r="C17" s="1297">
        <v>3100001855</v>
      </c>
      <c r="D17" s="612" t="s">
        <v>1341</v>
      </c>
      <c r="E17" s="1049">
        <v>9000.94</v>
      </c>
      <c r="F17" s="1049">
        <v>441.49</v>
      </c>
      <c r="G17" s="1380">
        <v>5304.1909999999998</v>
      </c>
      <c r="H17" s="1384">
        <v>10050.81</v>
      </c>
      <c r="I17" s="1381">
        <v>405.03</v>
      </c>
      <c r="J17" s="1384">
        <v>7559.1</v>
      </c>
      <c r="K17" s="1381"/>
      <c r="L17" s="1381">
        <v>2730.4769999999999</v>
      </c>
      <c r="M17" s="1382">
        <v>6496.59</v>
      </c>
      <c r="N17" s="1381">
        <v>10583.065000000001</v>
      </c>
      <c r="O17" s="1381">
        <v>1479.4</v>
      </c>
      <c r="P17" s="1381">
        <v>3458.41</v>
      </c>
      <c r="Q17" s="1383"/>
      <c r="R17" s="1383"/>
      <c r="S17" s="1383"/>
    </row>
    <row r="18" spans="3:20">
      <c r="C18" s="1297">
        <v>3100001727</v>
      </c>
      <c r="D18" s="612" t="s">
        <v>1342</v>
      </c>
      <c r="E18" s="1049">
        <v>1127.99</v>
      </c>
      <c r="F18" s="1049">
        <v>2772.16</v>
      </c>
      <c r="G18" s="1380">
        <v>3307.14</v>
      </c>
      <c r="H18" s="1384"/>
      <c r="I18" s="1381">
        <v>0</v>
      </c>
      <c r="J18" s="1384"/>
      <c r="K18" s="1381">
        <v>5220.82</v>
      </c>
      <c r="L18" s="1381">
        <v>3797.6880000000001</v>
      </c>
      <c r="M18" s="1382">
        <v>46.088000000000001</v>
      </c>
      <c r="N18" s="1381">
        <v>649</v>
      </c>
      <c r="O18" s="1381">
        <v>3082.8710000000001</v>
      </c>
      <c r="P18" s="1381">
        <v>7846.52</v>
      </c>
      <c r="Q18" s="1383"/>
      <c r="R18" s="1383"/>
      <c r="S18" s="1383"/>
    </row>
    <row r="19" spans="3:20">
      <c r="C19" s="1385">
        <v>3100004572</v>
      </c>
      <c r="D19" s="1386" t="s">
        <v>1343</v>
      </c>
      <c r="E19" s="1049"/>
      <c r="F19" s="1049"/>
      <c r="G19" s="1380"/>
      <c r="H19" s="1384"/>
      <c r="I19" s="1381">
        <v>0</v>
      </c>
      <c r="J19" s="1384"/>
      <c r="K19" s="1381"/>
      <c r="L19" s="1381"/>
      <c r="M19" s="1382"/>
      <c r="N19" s="1381"/>
      <c r="O19" s="1381"/>
      <c r="P19" s="1381"/>
      <c r="Q19" s="1383"/>
      <c r="R19" s="1383"/>
      <c r="S19" s="1383"/>
    </row>
    <row r="20" spans="3:20">
      <c r="C20" s="1385">
        <v>3100005503</v>
      </c>
      <c r="D20" s="1386" t="s">
        <v>1344</v>
      </c>
      <c r="E20" s="1049"/>
      <c r="F20" s="1049"/>
      <c r="G20" s="1380"/>
      <c r="H20" s="1384"/>
      <c r="I20" s="1381">
        <v>0</v>
      </c>
      <c r="J20" s="1384"/>
      <c r="K20" s="1381"/>
      <c r="L20" s="1381"/>
      <c r="M20" s="1382">
        <v>763.28700000000003</v>
      </c>
      <c r="N20" s="1381"/>
      <c r="O20" s="1381">
        <v>335.42599999999999</v>
      </c>
      <c r="P20" s="1381">
        <v>721.84</v>
      </c>
      <c r="Q20" s="1383"/>
      <c r="R20" s="1383"/>
      <c r="S20" s="1383"/>
    </row>
    <row r="21" spans="3:20">
      <c r="C21" s="1387" t="s">
        <v>1345</v>
      </c>
      <c r="D21" s="1388" t="s">
        <v>1346</v>
      </c>
      <c r="E21" s="1049">
        <v>7963.45</v>
      </c>
      <c r="F21" s="1041">
        <v>3227.42</v>
      </c>
      <c r="G21" s="1389">
        <v>6328.05</v>
      </c>
      <c r="H21" s="1384">
        <v>6603.45</v>
      </c>
      <c r="I21" s="1381">
        <v>9183.5</v>
      </c>
      <c r="J21" s="1384">
        <v>8726.2900000000009</v>
      </c>
      <c r="K21" s="1381">
        <v>8477.5389999999898</v>
      </c>
      <c r="L21" s="1381">
        <v>14851.209999999954</v>
      </c>
      <c r="M21" s="1382">
        <v>8391.7429999999804</v>
      </c>
      <c r="N21" s="1381">
        <v>8923.2379999999794</v>
      </c>
      <c r="O21" s="1381">
        <v>9493.9910000000018</v>
      </c>
      <c r="P21" s="1381">
        <v>2930.7</v>
      </c>
      <c r="Q21" s="1383" t="s">
        <v>1347</v>
      </c>
      <c r="R21" s="1383"/>
      <c r="S21" s="1383"/>
    </row>
    <row r="22" spans="3:20" ht="15.75" thickBot="1">
      <c r="C22" s="1390"/>
      <c r="D22" s="900"/>
      <c r="E22" s="1049"/>
      <c r="F22" s="1391"/>
      <c r="G22" s="1392"/>
      <c r="H22" s="1393"/>
      <c r="I22" s="1381">
        <v>0</v>
      </c>
      <c r="J22" s="1393"/>
      <c r="K22" s="1381"/>
      <c r="L22" s="1381"/>
      <c r="M22" s="1382"/>
      <c r="N22" s="1381"/>
      <c r="O22" s="1381"/>
      <c r="P22" s="1381"/>
      <c r="Q22" s="1383"/>
      <c r="R22" s="1383"/>
      <c r="S22" s="1383"/>
    </row>
    <row r="23" spans="3:20" ht="15.75" thickBot="1">
      <c r="C23" s="2227" t="s">
        <v>864</v>
      </c>
      <c r="D23" s="2228"/>
      <c r="E23" s="1394">
        <f>SUM(E4:E22)</f>
        <v>37037.914000000004</v>
      </c>
      <c r="F23" s="1395">
        <f t="shared" ref="F23:P23" si="0">SUM(F4:F22)</f>
        <v>27077.648999999998</v>
      </c>
      <c r="G23" s="1396">
        <f t="shared" si="0"/>
        <v>33009.529000000002</v>
      </c>
      <c r="H23" s="1396">
        <f t="shared" si="0"/>
        <v>29471.654999999999</v>
      </c>
      <c r="I23" s="1396">
        <f t="shared" si="0"/>
        <v>48284.78</v>
      </c>
      <c r="J23" s="1396">
        <f t="shared" si="0"/>
        <v>27457.198</v>
      </c>
      <c r="K23" s="1396">
        <f t="shared" si="0"/>
        <v>41020.957999999991</v>
      </c>
      <c r="L23" s="1396">
        <f t="shared" si="0"/>
        <v>33468.288999999953</v>
      </c>
      <c r="M23" s="1397">
        <f>SUM(M4:M22)</f>
        <v>17465.745999999981</v>
      </c>
      <c r="N23" s="1396">
        <f>SUM(N4:N22)</f>
        <v>28528.606999999978</v>
      </c>
      <c r="O23" s="1396">
        <f>SUM(O4:O22)</f>
        <v>36144.563999999998</v>
      </c>
      <c r="P23" s="1398">
        <f t="shared" si="0"/>
        <v>28848.68</v>
      </c>
      <c r="Q23" s="1399" t="s">
        <v>335</v>
      </c>
      <c r="R23" s="956">
        <f>AVERAGEIF(E23:P23, "&gt;0")</f>
        <v>32317.964083333325</v>
      </c>
      <c r="S23" s="486" t="s">
        <v>224</v>
      </c>
    </row>
    <row r="24" spans="3:20" ht="15.75" thickBot="1">
      <c r="C24" s="2227" t="s">
        <v>904</v>
      </c>
      <c r="D24" s="2228"/>
      <c r="E24" s="1394">
        <f>'Chemical Consumption'!D14</f>
        <v>157258.49583333332</v>
      </c>
      <c r="F24" s="1394">
        <f>'Chemical Consumption'!E14</f>
        <v>162692.98000000001</v>
      </c>
      <c r="G24" s="1394">
        <f>'Chemical Consumption'!F14</f>
        <v>150371.86333333334</v>
      </c>
      <c r="H24" s="1394">
        <f>'Chemical Consumption'!G14</f>
        <v>175263.78333333335</v>
      </c>
      <c r="I24" s="1394">
        <f>'Chemical Consumption'!H14</f>
        <v>211660.26333333334</v>
      </c>
      <c r="J24" s="1394">
        <f>'Chemical Consumption'!I14</f>
        <v>194768.66666666666</v>
      </c>
      <c r="K24" s="1394">
        <f>'Chemical Consumption'!J14</f>
        <v>175411.07666666666</v>
      </c>
      <c r="L24" s="1394">
        <f>'Chemical Consumption'!K14</f>
        <v>160336.92333333334</v>
      </c>
      <c r="M24" s="1394">
        <f>'Chemical Consumption'!L14</f>
        <v>131074.92462499999</v>
      </c>
      <c r="N24" s="1394">
        <f>'Chemical Consumption'!M14</f>
        <v>157888.54999999999</v>
      </c>
      <c r="O24" s="1394">
        <f>'Chemical Consumption'!N14</f>
        <v>176827.69500000001</v>
      </c>
      <c r="P24" s="1394">
        <f>'Chemical Consumption'!O14</f>
        <v>155998.29958333331</v>
      </c>
      <c r="Q24" s="1399" t="s">
        <v>334</v>
      </c>
      <c r="R24" s="985">
        <f>SUM(E23:P23)</f>
        <v>387815.5689999999</v>
      </c>
      <c r="S24" s="486" t="s">
        <v>224</v>
      </c>
      <c r="T24" s="1102">
        <f>R24/1000</f>
        <v>387.81556899999993</v>
      </c>
    </row>
    <row r="25" spans="3:20" ht="15.75" thickBot="1">
      <c r="C25" s="2227" t="s">
        <v>1255</v>
      </c>
      <c r="D25" s="2228"/>
      <c r="E25" s="1400">
        <f t="shared" ref="E25:P25" si="1">(E23*1000)/E24</f>
        <v>235.52249946008487</v>
      </c>
      <c r="F25" s="1401">
        <f t="shared" si="1"/>
        <v>166.43403421585856</v>
      </c>
      <c r="G25" s="1401">
        <f t="shared" si="1"/>
        <v>219.5193187626258</v>
      </c>
      <c r="H25" s="1401">
        <f t="shared" si="1"/>
        <v>168.1559900139095</v>
      </c>
      <c r="I25" s="1401">
        <f t="shared" si="1"/>
        <v>228.12397206535965</v>
      </c>
      <c r="J25" s="1401">
        <f t="shared" si="1"/>
        <v>140.9733838091685</v>
      </c>
      <c r="K25" s="1401">
        <f t="shared" si="1"/>
        <v>233.85614397631252</v>
      </c>
      <c r="L25" s="1401">
        <f t="shared" si="1"/>
        <v>208.7372534298969</v>
      </c>
      <c r="M25" s="1401">
        <f t="shared" si="1"/>
        <v>133.25009379153769</v>
      </c>
      <c r="N25" s="1401">
        <f t="shared" si="1"/>
        <v>180.68825763489485</v>
      </c>
      <c r="O25" s="1401">
        <f t="shared" si="1"/>
        <v>204.40555988698489</v>
      </c>
      <c r="P25" s="1402">
        <f t="shared" si="1"/>
        <v>184.92945164821631</v>
      </c>
      <c r="Q25" s="1399" t="s">
        <v>295</v>
      </c>
      <c r="R25" s="956">
        <f>SUM(E24:P24)</f>
        <v>2009553.5217083334</v>
      </c>
      <c r="S25" s="486" t="s">
        <v>296</v>
      </c>
    </row>
    <row r="26" spans="3:20">
      <c r="C26" s="508"/>
      <c r="D26" s="530"/>
      <c r="E26" s="530"/>
      <c r="F26" s="530"/>
      <c r="M26" s="665"/>
      <c r="Q26" s="1399" t="s">
        <v>1255</v>
      </c>
      <c r="R26" s="1403">
        <f>(R24*1000)/R25</f>
        <v>192.98593683153837</v>
      </c>
      <c r="S26" s="486" t="s">
        <v>1255</v>
      </c>
      <c r="T26" s="1404">
        <f>(R24)/R25</f>
        <v>0.19298593683153836</v>
      </c>
    </row>
    <row r="27" spans="3:20">
      <c r="J27" s="1102"/>
    </row>
    <row r="30" spans="3:20" ht="23.25">
      <c r="C30" s="2214">
        <v>2024</v>
      </c>
      <c r="D30" s="2214"/>
      <c r="E30" s="2214"/>
    </row>
    <row r="31" spans="3:20" ht="15.75" thickBot="1"/>
    <row r="32" spans="3:20" ht="15.75" thickBot="1">
      <c r="C32" s="1376" t="s">
        <v>1262</v>
      </c>
      <c r="D32" s="1377" t="s">
        <v>1314</v>
      </c>
      <c r="E32" s="1378">
        <v>44927</v>
      </c>
      <c r="F32" s="1378">
        <v>44958</v>
      </c>
      <c r="G32" s="1378">
        <v>44986</v>
      </c>
      <c r="H32" s="1378">
        <v>45017</v>
      </c>
      <c r="I32" s="1378">
        <v>45047</v>
      </c>
      <c r="J32" s="1378">
        <v>45078</v>
      </c>
      <c r="K32" s="1378">
        <v>45108</v>
      </c>
      <c r="L32" s="1378">
        <v>45139</v>
      </c>
      <c r="M32" s="1378">
        <v>45170</v>
      </c>
      <c r="N32" s="1378">
        <v>45200</v>
      </c>
      <c r="O32" s="1378">
        <v>45231</v>
      </c>
      <c r="P32" s="1378">
        <v>45261</v>
      </c>
      <c r="Q32" s="1379"/>
      <c r="R32" s="1379"/>
      <c r="S32" s="1379"/>
    </row>
    <row r="33" spans="3:19">
      <c r="C33" s="1297">
        <v>3100000152</v>
      </c>
      <c r="D33" s="1040" t="s">
        <v>1328</v>
      </c>
      <c r="E33" s="1049">
        <v>987.44</v>
      </c>
      <c r="F33" s="1049"/>
      <c r="G33" s="1380"/>
      <c r="H33" s="1381"/>
      <c r="I33" s="1381"/>
      <c r="J33" s="1381"/>
      <c r="K33" s="1381"/>
      <c r="L33" s="1381"/>
      <c r="M33" s="1382"/>
      <c r="N33" s="1381"/>
      <c r="O33" s="1381"/>
      <c r="P33" s="1381"/>
      <c r="Q33" s="1383"/>
      <c r="R33" s="1383"/>
      <c r="S33" s="1383"/>
    </row>
    <row r="34" spans="3:19">
      <c r="C34" s="1297">
        <v>3100000734</v>
      </c>
      <c r="D34" s="612" t="s">
        <v>1329</v>
      </c>
      <c r="E34" s="1049">
        <v>1217.22</v>
      </c>
      <c r="F34" s="1049"/>
      <c r="G34" s="1380"/>
      <c r="H34" s="1384"/>
      <c r="I34" s="1381"/>
      <c r="J34" s="1384"/>
      <c r="K34" s="1381"/>
      <c r="L34" s="1381"/>
      <c r="M34" s="1382"/>
      <c r="N34" s="1381"/>
      <c r="O34" s="1381"/>
      <c r="P34" s="1381"/>
      <c r="Q34" s="1383"/>
      <c r="R34" s="1383"/>
      <c r="S34" s="1383"/>
    </row>
    <row r="35" spans="3:19">
      <c r="C35" s="1297">
        <v>3100001823</v>
      </c>
      <c r="D35" s="612" t="s">
        <v>1330</v>
      </c>
      <c r="E35" s="1049">
        <v>1587.6</v>
      </c>
      <c r="F35" s="1049"/>
      <c r="G35" s="1380"/>
      <c r="H35" s="1384"/>
      <c r="I35" s="1381"/>
      <c r="J35" s="1384"/>
      <c r="K35" s="1381"/>
      <c r="L35" s="1381"/>
      <c r="M35" s="1382"/>
      <c r="N35" s="1381"/>
      <c r="O35" s="1381"/>
      <c r="P35" s="1381"/>
      <c r="Q35" s="1383"/>
      <c r="R35" s="1383"/>
      <c r="S35" s="1383"/>
    </row>
    <row r="36" spans="3:19">
      <c r="C36" s="1297">
        <v>3100001828</v>
      </c>
      <c r="D36" s="612" t="s">
        <v>1331</v>
      </c>
      <c r="E36" s="1049">
        <v>1327.51</v>
      </c>
      <c r="F36" s="1049"/>
      <c r="G36" s="1380"/>
      <c r="H36" s="1384"/>
      <c r="I36" s="1381"/>
      <c r="J36" s="1384"/>
      <c r="K36" s="1381"/>
      <c r="L36" s="1381"/>
      <c r="M36" s="1382"/>
      <c r="N36" s="1381"/>
      <c r="O36" s="1381"/>
      <c r="P36" s="1381"/>
      <c r="Q36" s="1383"/>
      <c r="R36" s="1383"/>
      <c r="S36" s="1383"/>
    </row>
    <row r="37" spans="3:19">
      <c r="C37" s="1297">
        <v>3100001829</v>
      </c>
      <c r="D37" s="612" t="s">
        <v>1332</v>
      </c>
      <c r="E37" s="1049">
        <v>1186.49</v>
      </c>
      <c r="F37" s="1049"/>
      <c r="G37" s="1380"/>
      <c r="H37" s="1384"/>
      <c r="I37" s="1381"/>
      <c r="J37" s="1384"/>
      <c r="K37" s="1381"/>
      <c r="L37" s="1381"/>
      <c r="M37" s="1382"/>
      <c r="N37" s="1381"/>
      <c r="O37" s="1381"/>
      <c r="P37" s="1381"/>
      <c r="Q37" s="1383"/>
      <c r="R37" s="1383"/>
      <c r="S37" s="1383"/>
    </row>
    <row r="38" spans="3:19">
      <c r="C38" s="1297">
        <v>3100001836</v>
      </c>
      <c r="D38" s="612" t="s">
        <v>1333</v>
      </c>
      <c r="E38" s="1049"/>
      <c r="F38" s="1049"/>
      <c r="G38" s="1380"/>
      <c r="H38" s="1384"/>
      <c r="I38" s="1381"/>
      <c r="J38" s="1384"/>
      <c r="K38" s="1381"/>
      <c r="L38" s="1381"/>
      <c r="M38" s="1382"/>
      <c r="N38" s="1381"/>
      <c r="O38" s="1381"/>
      <c r="P38" s="1381"/>
      <c r="Q38" s="1383"/>
      <c r="R38" s="1383"/>
      <c r="S38" s="1383"/>
    </row>
    <row r="39" spans="3:19">
      <c r="C39" s="1297">
        <v>3100001837</v>
      </c>
      <c r="D39" s="612" t="s">
        <v>1334</v>
      </c>
      <c r="E39" s="1049">
        <v>255.62</v>
      </c>
      <c r="F39" s="1049"/>
      <c r="G39" s="1380"/>
      <c r="H39" s="1384"/>
      <c r="I39" s="1381"/>
      <c r="J39" s="1384"/>
      <c r="K39" s="1381"/>
      <c r="L39" s="1381"/>
      <c r="M39" s="1382"/>
      <c r="N39" s="1381"/>
      <c r="O39" s="1381"/>
      <c r="P39" s="1381"/>
      <c r="Q39" s="1383"/>
      <c r="R39" s="1383"/>
      <c r="S39" s="1383"/>
    </row>
    <row r="40" spans="3:19">
      <c r="C40" s="1297">
        <v>3100001838</v>
      </c>
      <c r="D40" s="612" t="s">
        <v>1335</v>
      </c>
      <c r="E40" s="1049">
        <v>3140.33</v>
      </c>
      <c r="F40" s="1049"/>
      <c r="G40" s="1380"/>
      <c r="H40" s="1384"/>
      <c r="I40" s="1381"/>
      <c r="J40" s="1384"/>
      <c r="K40" s="1381"/>
      <c r="L40" s="1381"/>
      <c r="M40" s="1382"/>
      <c r="N40" s="1381"/>
      <c r="O40" s="1381"/>
      <c r="P40" s="1381"/>
      <c r="Q40" s="1383"/>
      <c r="R40" s="1383"/>
      <c r="S40" s="1383"/>
    </row>
    <row r="41" spans="3:19">
      <c r="C41" s="1297">
        <v>3100001920</v>
      </c>
      <c r="D41" s="612" t="s">
        <v>1336</v>
      </c>
      <c r="E41" s="1049">
        <v>2066.4699999999998</v>
      </c>
      <c r="F41" s="1049"/>
      <c r="G41" s="1380"/>
      <c r="H41" s="1384"/>
      <c r="I41" s="1381"/>
      <c r="J41" s="1384"/>
      <c r="K41" s="1381"/>
      <c r="L41" s="1381"/>
      <c r="M41" s="1382"/>
      <c r="N41" s="1381"/>
      <c r="O41" s="1381"/>
      <c r="P41" s="1381"/>
      <c r="Q41" s="1383"/>
      <c r="R41" s="1383"/>
      <c r="S41" s="1383"/>
    </row>
    <row r="42" spans="3:19">
      <c r="C42" s="1297">
        <v>3100004746</v>
      </c>
      <c r="D42" s="612" t="s">
        <v>1337</v>
      </c>
      <c r="E42" s="1049"/>
      <c r="F42" s="1049"/>
      <c r="G42" s="1380"/>
      <c r="H42" s="1384"/>
      <c r="I42" s="1381"/>
      <c r="J42" s="1384"/>
      <c r="K42" s="1381"/>
      <c r="L42" s="1381"/>
      <c r="M42" s="1382"/>
      <c r="N42" s="1381"/>
      <c r="O42" s="1381"/>
      <c r="P42" s="1381"/>
      <c r="Q42" s="1383"/>
      <c r="R42" s="1383"/>
      <c r="S42" s="1383"/>
    </row>
    <row r="43" spans="3:19">
      <c r="C43" s="1297">
        <v>3100001831</v>
      </c>
      <c r="D43" s="612" t="s">
        <v>1338</v>
      </c>
      <c r="E43" s="1049"/>
      <c r="F43" s="1049"/>
      <c r="G43" s="1380"/>
      <c r="H43" s="1384"/>
      <c r="I43" s="1381"/>
      <c r="J43" s="1384"/>
      <c r="K43" s="1381"/>
      <c r="L43" s="1381"/>
      <c r="M43" s="1382"/>
      <c r="N43" s="1381"/>
      <c r="O43" s="1381"/>
      <c r="P43" s="1381"/>
      <c r="Q43" s="1383"/>
      <c r="R43" s="1383"/>
      <c r="S43" s="1383"/>
    </row>
    <row r="44" spans="3:19">
      <c r="C44" s="1297">
        <v>3100002000</v>
      </c>
      <c r="D44" s="612" t="s">
        <v>1339</v>
      </c>
      <c r="E44" s="1049">
        <v>9308.43</v>
      </c>
      <c r="F44" s="1049"/>
      <c r="G44" s="1380"/>
      <c r="H44" s="1384"/>
      <c r="I44" s="1381"/>
      <c r="J44" s="1384"/>
      <c r="K44" s="1381"/>
      <c r="L44" s="1381"/>
      <c r="M44" s="1382"/>
      <c r="N44" s="1381"/>
      <c r="O44" s="1381"/>
      <c r="P44" s="1381"/>
      <c r="Q44" s="1383"/>
      <c r="R44" s="1383"/>
      <c r="S44" s="1383"/>
    </row>
    <row r="45" spans="3:19">
      <c r="C45" s="1297">
        <v>3100002308</v>
      </c>
      <c r="D45" s="612" t="s">
        <v>1340</v>
      </c>
      <c r="E45" s="1049">
        <v>692.9</v>
      </c>
      <c r="F45" s="1049"/>
      <c r="G45" s="1380"/>
      <c r="H45" s="1384"/>
      <c r="I45" s="1381"/>
      <c r="J45" s="1384"/>
      <c r="K45" s="1381"/>
      <c r="L45" s="1381"/>
      <c r="M45" s="1382"/>
      <c r="N45" s="1381"/>
      <c r="O45" s="1381"/>
      <c r="P45" s="1381"/>
      <c r="Q45" s="1383"/>
      <c r="R45" s="1383"/>
      <c r="S45" s="1383"/>
    </row>
    <row r="46" spans="3:19">
      <c r="C46" s="1297">
        <v>3100001855</v>
      </c>
      <c r="D46" s="612" t="s">
        <v>1341</v>
      </c>
      <c r="E46" s="1049">
        <v>5904.77</v>
      </c>
      <c r="F46" s="1049"/>
      <c r="G46" s="1380"/>
      <c r="H46" s="1384"/>
      <c r="I46" s="1381"/>
      <c r="J46" s="1384"/>
      <c r="K46" s="1381"/>
      <c r="L46" s="1381"/>
      <c r="M46" s="1382"/>
      <c r="N46" s="1381"/>
      <c r="O46" s="1381"/>
      <c r="P46" s="1381"/>
      <c r="Q46" s="1383"/>
      <c r="R46" s="1383"/>
      <c r="S46" s="1383"/>
    </row>
    <row r="47" spans="3:19">
      <c r="C47" s="1297">
        <v>3100001727</v>
      </c>
      <c r="D47" s="612" t="s">
        <v>1342</v>
      </c>
      <c r="E47" s="1049"/>
      <c r="F47" s="1049"/>
      <c r="G47" s="1380"/>
      <c r="H47" s="1384"/>
      <c r="I47" s="1381"/>
      <c r="J47" s="1384"/>
      <c r="K47" s="1381"/>
      <c r="L47" s="1381"/>
      <c r="M47" s="1382"/>
      <c r="N47" s="1381"/>
      <c r="O47" s="1381"/>
      <c r="P47" s="1381"/>
      <c r="Q47" s="1383"/>
      <c r="R47" s="1383"/>
      <c r="S47" s="1383"/>
    </row>
    <row r="48" spans="3:19">
      <c r="C48" s="1385">
        <v>3100004572</v>
      </c>
      <c r="D48" s="1386" t="s">
        <v>1343</v>
      </c>
      <c r="E48" s="1049">
        <v>1149.46</v>
      </c>
      <c r="F48" s="1049"/>
      <c r="G48" s="1380"/>
      <c r="H48" s="1384"/>
      <c r="I48" s="1381"/>
      <c r="J48" s="1384"/>
      <c r="K48" s="1381"/>
      <c r="L48" s="1381"/>
      <c r="M48" s="1382"/>
      <c r="N48" s="1381"/>
      <c r="O48" s="1381"/>
      <c r="P48" s="1381"/>
      <c r="Q48" s="1383"/>
      <c r="R48" s="1383"/>
      <c r="S48" s="1383"/>
    </row>
    <row r="49" spans="3:20">
      <c r="C49" s="1385">
        <v>3100005503</v>
      </c>
      <c r="D49" s="1386" t="s">
        <v>1344</v>
      </c>
      <c r="E49" s="1049">
        <v>1580.64</v>
      </c>
      <c r="F49" s="1049"/>
      <c r="G49" s="1380"/>
      <c r="H49" s="1384"/>
      <c r="I49" s="1381"/>
      <c r="J49" s="1384"/>
      <c r="K49" s="1381"/>
      <c r="L49" s="1381"/>
      <c r="M49" s="1382"/>
      <c r="N49" s="1381"/>
      <c r="O49" s="1381"/>
      <c r="P49" s="1381"/>
      <c r="Q49" s="1383"/>
      <c r="R49" s="1383"/>
      <c r="S49" s="1383"/>
    </row>
    <row r="50" spans="3:20">
      <c r="C50" s="1387" t="s">
        <v>1345</v>
      </c>
      <c r="D50" s="1388" t="s">
        <v>1346</v>
      </c>
      <c r="E50" s="1049">
        <v>8476.9</v>
      </c>
      <c r="F50" s="1041"/>
      <c r="G50" s="1389"/>
      <c r="H50" s="1384"/>
      <c r="I50" s="1381"/>
      <c r="J50" s="1384"/>
      <c r="K50" s="1381"/>
      <c r="L50" s="1381"/>
      <c r="M50" s="1382"/>
      <c r="N50" s="1381"/>
      <c r="O50" s="1381"/>
      <c r="P50" s="1381"/>
      <c r="Q50" s="1383"/>
      <c r="R50" s="1383"/>
      <c r="S50" s="1383"/>
    </row>
    <row r="51" spans="3:20" ht="15.75" thickBot="1">
      <c r="C51" s="1390"/>
      <c r="D51" s="900"/>
      <c r="E51" s="1049"/>
      <c r="F51" s="1391"/>
      <c r="G51" s="1392"/>
      <c r="H51" s="1393"/>
      <c r="I51" s="1381"/>
      <c r="J51" s="1393"/>
      <c r="K51" s="1381"/>
      <c r="L51" s="1381"/>
      <c r="M51" s="1382"/>
      <c r="N51" s="1381"/>
      <c r="O51" s="1381"/>
      <c r="P51" s="1381"/>
      <c r="Q51" s="1383"/>
      <c r="R51" s="1383"/>
      <c r="S51" s="1383"/>
    </row>
    <row r="52" spans="3:20" ht="15.75" thickBot="1">
      <c r="C52" s="2227" t="s">
        <v>864</v>
      </c>
      <c r="D52" s="2228"/>
      <c r="E52" s="1394">
        <f>SUM(E33:E51)</f>
        <v>38881.78</v>
      </c>
      <c r="F52" s="1395">
        <f t="shared" ref="F52:L52" si="2">SUM(F33:F51)</f>
        <v>0</v>
      </c>
      <c r="G52" s="1396">
        <f t="shared" si="2"/>
        <v>0</v>
      </c>
      <c r="H52" s="1396">
        <f t="shared" si="2"/>
        <v>0</v>
      </c>
      <c r="I52" s="1396">
        <f t="shared" si="2"/>
        <v>0</v>
      </c>
      <c r="J52" s="1396">
        <f t="shared" si="2"/>
        <v>0</v>
      </c>
      <c r="K52" s="1396">
        <f t="shared" si="2"/>
        <v>0</v>
      </c>
      <c r="L52" s="1396">
        <f t="shared" si="2"/>
        <v>0</v>
      </c>
      <c r="M52" s="1397">
        <f>SUM(M33:M51)</f>
        <v>0</v>
      </c>
      <c r="N52" s="1396">
        <f>SUM(N33:N51)</f>
        <v>0</v>
      </c>
      <c r="O52" s="1396">
        <f>SUM(O33:O51)</f>
        <v>0</v>
      </c>
      <c r="P52" s="1398">
        <f t="shared" ref="P52" si="3">SUM(P33:P51)</f>
        <v>0</v>
      </c>
      <c r="Q52" s="1399" t="s">
        <v>335</v>
      </c>
      <c r="R52" s="956">
        <f>AVERAGEIF(E52:P52, "&gt;0")</f>
        <v>38881.78</v>
      </c>
      <c r="S52" s="486" t="s">
        <v>224</v>
      </c>
    </row>
    <row r="53" spans="3:20" ht="15.75" thickBot="1">
      <c r="C53" s="2227" t="s">
        <v>904</v>
      </c>
      <c r="D53" s="2228"/>
      <c r="E53" s="1394">
        <f>'Chemical Consumption'!D33</f>
        <v>167055.83333333334</v>
      </c>
      <c r="F53" s="1394">
        <f>'Chemical Consumption'!E33</f>
        <v>0</v>
      </c>
      <c r="G53" s="1394">
        <f>'Chemical Consumption'!F33</f>
        <v>0</v>
      </c>
      <c r="H53" s="1394">
        <f>'Chemical Consumption'!G33</f>
        <v>0</v>
      </c>
      <c r="I53" s="1394">
        <f>'Chemical Consumption'!H33</f>
        <v>0</v>
      </c>
      <c r="J53" s="1394">
        <f>'Chemical Consumption'!I33</f>
        <v>0</v>
      </c>
      <c r="K53" s="1394">
        <f>'Chemical Consumption'!J33</f>
        <v>0</v>
      </c>
      <c r="L53" s="1394">
        <f>'Chemical Consumption'!K33</f>
        <v>0</v>
      </c>
      <c r="M53" s="1394">
        <f>'Chemical Consumption'!L33</f>
        <v>0</v>
      </c>
      <c r="N53" s="1394">
        <f>'Chemical Consumption'!M33</f>
        <v>0</v>
      </c>
      <c r="O53" s="1394">
        <f>'Chemical Consumption'!N33</f>
        <v>0</v>
      </c>
      <c r="P53" s="1394">
        <f>'Chemical Consumption'!O33</f>
        <v>0</v>
      </c>
      <c r="Q53" s="1399" t="s">
        <v>334</v>
      </c>
      <c r="R53" s="985">
        <f>SUM(E52:P52)</f>
        <v>38881.78</v>
      </c>
      <c r="S53" s="486" t="s">
        <v>224</v>
      </c>
      <c r="T53" s="1102">
        <f>R53/1000</f>
        <v>38.881779999999999</v>
      </c>
    </row>
    <row r="54" spans="3:20" ht="15.75" thickBot="1">
      <c r="C54" s="2227" t="s">
        <v>1255</v>
      </c>
      <c r="D54" s="2228"/>
      <c r="E54" s="1400">
        <f t="shared" ref="E54:P54" si="4">(E52*1000)/E53</f>
        <v>232.74721525238567</v>
      </c>
      <c r="F54" s="1401" t="e">
        <f t="shared" si="4"/>
        <v>#DIV/0!</v>
      </c>
      <c r="G54" s="1401" t="e">
        <f t="shared" si="4"/>
        <v>#DIV/0!</v>
      </c>
      <c r="H54" s="1401" t="e">
        <f t="shared" si="4"/>
        <v>#DIV/0!</v>
      </c>
      <c r="I54" s="1401" t="e">
        <f t="shared" si="4"/>
        <v>#DIV/0!</v>
      </c>
      <c r="J54" s="1401" t="e">
        <f t="shared" si="4"/>
        <v>#DIV/0!</v>
      </c>
      <c r="K54" s="1401" t="e">
        <f t="shared" si="4"/>
        <v>#DIV/0!</v>
      </c>
      <c r="L54" s="1401" t="e">
        <f t="shared" si="4"/>
        <v>#DIV/0!</v>
      </c>
      <c r="M54" s="1401" t="e">
        <f t="shared" si="4"/>
        <v>#DIV/0!</v>
      </c>
      <c r="N54" s="1401" t="e">
        <f t="shared" si="4"/>
        <v>#DIV/0!</v>
      </c>
      <c r="O54" s="1401" t="e">
        <f t="shared" si="4"/>
        <v>#DIV/0!</v>
      </c>
      <c r="P54" s="1402" t="e">
        <f t="shared" si="4"/>
        <v>#DIV/0!</v>
      </c>
      <c r="Q54" s="1399" t="s">
        <v>295</v>
      </c>
      <c r="R54" s="956">
        <f>SUM(E53:P53)</f>
        <v>167055.83333333334</v>
      </c>
      <c r="S54" s="486" t="s">
        <v>296</v>
      </c>
    </row>
    <row r="55" spans="3:20">
      <c r="C55" s="508"/>
      <c r="D55" s="530"/>
      <c r="E55" s="530"/>
      <c r="F55" s="530"/>
      <c r="M55" s="665"/>
      <c r="Q55" s="1399" t="s">
        <v>1255</v>
      </c>
      <c r="R55" s="1403">
        <f>(R53*1000)/R54</f>
        <v>232.74721525238567</v>
      </c>
      <c r="S55" s="486" t="s">
        <v>1255</v>
      </c>
      <c r="T55" s="1404">
        <f>(R53)/R54</f>
        <v>0.23274721525238565</v>
      </c>
    </row>
  </sheetData>
  <mergeCells count="8">
    <mergeCell ref="C1:E1"/>
    <mergeCell ref="C30:E30"/>
    <mergeCell ref="C52:D52"/>
    <mergeCell ref="C53:D53"/>
    <mergeCell ref="C54:D54"/>
    <mergeCell ref="C23:D23"/>
    <mergeCell ref="C24:D24"/>
    <mergeCell ref="C25:D25"/>
  </mergeCells>
  <pageMargins left="0.7" right="0.7" top="0.75" bottom="0.75" header="0.3" footer="0.3"/>
  <pageSetup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4A335-535A-45A3-AFE1-8738E4F3D3F6}">
  <dimension ref="A2:H42"/>
  <sheetViews>
    <sheetView showGridLines="0" workbookViewId="0"/>
  </sheetViews>
  <sheetFormatPr defaultRowHeight="15"/>
  <cols>
    <col min="1" max="1" width="22" bestFit="1" customWidth="1"/>
    <col min="2" max="2" width="1.5703125" customWidth="1"/>
    <col min="3" max="3" width="24.140625" bestFit="1" customWidth="1"/>
    <col min="4" max="4" width="14.28515625" bestFit="1" customWidth="1"/>
    <col min="5" max="5" width="13.28515625" customWidth="1"/>
    <col min="6" max="6" width="13.85546875" customWidth="1"/>
    <col min="7" max="7" width="16" bestFit="1" customWidth="1"/>
    <col min="8" max="8" width="34.28515625" bestFit="1" customWidth="1"/>
  </cols>
  <sheetData>
    <row r="2" spans="1:8" ht="15.75" thickBot="1"/>
    <row r="3" spans="1:8" ht="19.5" thickBot="1">
      <c r="C3" s="2091" t="s">
        <v>1348</v>
      </c>
      <c r="D3" s="2092"/>
      <c r="E3" s="2092"/>
      <c r="F3" s="2092"/>
      <c r="G3" s="2094"/>
    </row>
    <row r="4" spans="1:8">
      <c r="C4" s="2229" t="s">
        <v>1349</v>
      </c>
      <c r="D4" s="2231">
        <v>2023</v>
      </c>
      <c r="E4" s="2232"/>
      <c r="F4" s="2232"/>
      <c r="G4" s="2233"/>
    </row>
    <row r="5" spans="1:8" ht="15.75" thickBot="1">
      <c r="A5" s="880" t="s">
        <v>338</v>
      </c>
      <c r="C5" s="2230"/>
      <c r="D5" s="2234"/>
      <c r="E5" s="2235"/>
      <c r="F5" s="2235"/>
      <c r="G5" s="2236"/>
    </row>
    <row r="6" spans="1:8" ht="15.75" thickBot="1">
      <c r="A6" s="882" t="s">
        <v>261</v>
      </c>
      <c r="C6" s="1480" t="s">
        <v>121</v>
      </c>
      <c r="D6" s="1012" t="s">
        <v>564</v>
      </c>
      <c r="E6" s="1481" t="s">
        <v>565</v>
      </c>
      <c r="F6" s="1482" t="s">
        <v>334</v>
      </c>
      <c r="G6" s="1483" t="s">
        <v>1350</v>
      </c>
    </row>
    <row r="7" spans="1:8">
      <c r="A7" t="s">
        <v>242</v>
      </c>
      <c r="C7" s="527" t="s">
        <v>127</v>
      </c>
      <c r="D7" s="1484">
        <v>296313</v>
      </c>
      <c r="E7" s="1485">
        <v>584861</v>
      </c>
      <c r="F7" s="1486">
        <f>D7+E7</f>
        <v>881174</v>
      </c>
      <c r="G7" s="1487">
        <f>D7/F7</f>
        <v>0.33627070249462648</v>
      </c>
    </row>
    <row r="8" spans="1:8">
      <c r="C8" s="1488" t="s">
        <v>128</v>
      </c>
      <c r="D8" s="1489">
        <v>161387</v>
      </c>
      <c r="E8" s="1490">
        <v>629833</v>
      </c>
      <c r="F8" s="1486">
        <f t="shared" ref="F8:F18" si="0">D8+E8</f>
        <v>791220</v>
      </c>
      <c r="G8" s="1487">
        <f t="shared" ref="G8:G18" si="1">D8/F8</f>
        <v>0.203972346502869</v>
      </c>
    </row>
    <row r="9" spans="1:8">
      <c r="C9" s="1488" t="s">
        <v>129</v>
      </c>
      <c r="D9" s="1489">
        <v>170776.19</v>
      </c>
      <c r="E9" s="1490">
        <v>820819.78</v>
      </c>
      <c r="F9" s="1486">
        <f t="shared" si="0"/>
        <v>991595.97</v>
      </c>
      <c r="G9" s="1487">
        <f t="shared" si="1"/>
        <v>0.17222356198160024</v>
      </c>
    </row>
    <row r="10" spans="1:8">
      <c r="C10" s="1488" t="s">
        <v>130</v>
      </c>
      <c r="D10" s="1489">
        <v>181352</v>
      </c>
      <c r="E10" s="1490">
        <v>643751</v>
      </c>
      <c r="F10" s="1486">
        <f t="shared" si="0"/>
        <v>825103</v>
      </c>
      <c r="G10" s="1487">
        <f t="shared" si="1"/>
        <v>0.21979316521694867</v>
      </c>
    </row>
    <row r="11" spans="1:8">
      <c r="C11" s="1488" t="s">
        <v>132</v>
      </c>
      <c r="D11" s="1489">
        <v>119992</v>
      </c>
      <c r="E11" s="1490">
        <v>841588</v>
      </c>
      <c r="F11" s="1486">
        <f t="shared" si="0"/>
        <v>961580</v>
      </c>
      <c r="G11" s="1487">
        <f t="shared" si="1"/>
        <v>0.12478628923230517</v>
      </c>
    </row>
    <row r="12" spans="1:8">
      <c r="C12" s="1488" t="s">
        <v>134</v>
      </c>
      <c r="D12" s="1491">
        <v>202697</v>
      </c>
      <c r="E12" s="1492">
        <v>648925</v>
      </c>
      <c r="F12" s="1486">
        <f t="shared" si="0"/>
        <v>851622</v>
      </c>
      <c r="G12" s="1487">
        <f t="shared" si="1"/>
        <v>0.23801287425641893</v>
      </c>
    </row>
    <row r="13" spans="1:8">
      <c r="C13" s="1488" t="s">
        <v>136</v>
      </c>
      <c r="D13" s="1493">
        <v>190457</v>
      </c>
      <c r="E13" s="1492">
        <v>814903</v>
      </c>
      <c r="F13" s="1486">
        <f t="shared" si="0"/>
        <v>1005360</v>
      </c>
      <c r="G13" s="1487">
        <f t="shared" si="1"/>
        <v>0.18944159306119202</v>
      </c>
    </row>
    <row r="14" spans="1:8">
      <c r="C14" s="1488" t="s">
        <v>138</v>
      </c>
      <c r="D14" s="1493">
        <f>148681-6855.04</f>
        <v>141825.96</v>
      </c>
      <c r="E14" s="1492">
        <f>2082390+6855.04</f>
        <v>2089245.04</v>
      </c>
      <c r="F14" s="1486">
        <f t="shared" si="0"/>
        <v>2231071</v>
      </c>
      <c r="G14" s="1487">
        <f t="shared" si="1"/>
        <v>6.3568555191654594E-2</v>
      </c>
      <c r="H14" t="s">
        <v>1107</v>
      </c>
    </row>
    <row r="15" spans="1:8">
      <c r="C15" s="1488" t="s">
        <v>139</v>
      </c>
      <c r="D15" s="1493">
        <v>294360</v>
      </c>
      <c r="E15" s="1492">
        <v>1329762</v>
      </c>
      <c r="F15" s="1486">
        <f t="shared" si="0"/>
        <v>1624122</v>
      </c>
      <c r="G15" s="1487">
        <f t="shared" si="1"/>
        <v>0.18124254212429855</v>
      </c>
    </row>
    <row r="16" spans="1:8">
      <c r="C16" s="1488" t="s">
        <v>140</v>
      </c>
      <c r="D16" s="1493">
        <v>142628</v>
      </c>
      <c r="E16" s="1492">
        <v>291889</v>
      </c>
      <c r="F16" s="1486">
        <f t="shared" si="0"/>
        <v>434517</v>
      </c>
      <c r="G16" s="1487">
        <f t="shared" si="1"/>
        <v>0.32824492482457535</v>
      </c>
    </row>
    <row r="17" spans="3:7">
      <c r="C17" s="1488" t="s">
        <v>142</v>
      </c>
      <c r="D17" s="1493">
        <v>145425</v>
      </c>
      <c r="E17" s="1492">
        <v>1032034</v>
      </c>
      <c r="F17" s="1486">
        <f t="shared" si="0"/>
        <v>1177459</v>
      </c>
      <c r="G17" s="1487">
        <f t="shared" si="1"/>
        <v>0.12350748518632071</v>
      </c>
    </row>
    <row r="18" spans="3:7" ht="15.75" thickBot="1">
      <c r="C18" s="1494" t="s">
        <v>144</v>
      </c>
      <c r="D18" s="1495">
        <v>300744.60889999999</v>
      </c>
      <c r="E18" s="1496">
        <v>1230236.1510000001</v>
      </c>
      <c r="F18" s="1486">
        <f t="shared" si="0"/>
        <v>1530980.7598999999</v>
      </c>
      <c r="G18" s="1487">
        <f t="shared" si="1"/>
        <v>0.19643918250131628</v>
      </c>
    </row>
    <row r="19" spans="3:7">
      <c r="C19" s="1497" t="s">
        <v>334</v>
      </c>
      <c r="D19" s="1498">
        <f>SUM(D7:D18)</f>
        <v>2347957.7588999998</v>
      </c>
      <c r="E19" s="1499">
        <f>SUM(E7:E18)</f>
        <v>10957846.971000001</v>
      </c>
      <c r="F19" s="1498">
        <f>SUM(F7:F18)</f>
        <v>13305804.729899999</v>
      </c>
      <c r="G19" s="1500"/>
    </row>
    <row r="20" spans="3:7" ht="15.75" thickBot="1">
      <c r="C20" s="1501" t="s">
        <v>1351</v>
      </c>
      <c r="D20" s="1502"/>
      <c r="E20" s="1503"/>
      <c r="F20" s="1502"/>
      <c r="G20" s="1504">
        <f>AVERAGEIF(G7:G18, "&gt;0")</f>
        <v>0.19812526854784376</v>
      </c>
    </row>
    <row r="24" spans="3:7" ht="15.75" thickBot="1"/>
    <row r="25" spans="3:7" ht="19.5" thickBot="1">
      <c r="C25" s="2091" t="s">
        <v>1352</v>
      </c>
      <c r="D25" s="2092"/>
      <c r="E25" s="2092"/>
      <c r="F25" s="2092"/>
      <c r="G25" s="2094"/>
    </row>
    <row r="26" spans="3:7">
      <c r="C26" s="2229" t="s">
        <v>1349</v>
      </c>
      <c r="D26" s="2231">
        <v>2024</v>
      </c>
      <c r="E26" s="2232"/>
      <c r="F26" s="2232"/>
      <c r="G26" s="2233"/>
    </row>
    <row r="27" spans="3:7" ht="15.75" thickBot="1">
      <c r="C27" s="2230"/>
      <c r="D27" s="2234"/>
      <c r="E27" s="2235"/>
      <c r="F27" s="2235"/>
      <c r="G27" s="2236"/>
    </row>
    <row r="28" spans="3:7" ht="15.75" thickBot="1">
      <c r="C28" s="1480" t="s">
        <v>121</v>
      </c>
      <c r="D28" s="1012" t="s">
        <v>564</v>
      </c>
      <c r="E28" s="1481" t="s">
        <v>565</v>
      </c>
      <c r="F28" s="1482" t="s">
        <v>334</v>
      </c>
      <c r="G28" s="1483" t="s">
        <v>1350</v>
      </c>
    </row>
    <row r="29" spans="3:7">
      <c r="C29" s="527" t="s">
        <v>127</v>
      </c>
      <c r="D29" s="1484">
        <v>219878</v>
      </c>
      <c r="E29" s="1485">
        <v>506259</v>
      </c>
      <c r="F29" s="1486">
        <f>D29+E29</f>
        <v>726137</v>
      </c>
      <c r="G29" s="1487">
        <f>D29/F29</f>
        <v>0.30280511804246307</v>
      </c>
    </row>
    <row r="30" spans="3:7">
      <c r="C30" s="1488" t="s">
        <v>128</v>
      </c>
      <c r="D30" s="1489"/>
      <c r="E30" s="1490"/>
      <c r="F30" s="1486">
        <f t="shared" ref="F30:F40" si="2">D30+E30</f>
        <v>0</v>
      </c>
      <c r="G30" s="1487" t="e">
        <f t="shared" ref="G30:G40" si="3">D30/F30</f>
        <v>#DIV/0!</v>
      </c>
    </row>
    <row r="31" spans="3:7">
      <c r="C31" s="1488" t="s">
        <v>129</v>
      </c>
      <c r="D31" s="1489"/>
      <c r="E31" s="1490"/>
      <c r="F31" s="1486">
        <f t="shared" si="2"/>
        <v>0</v>
      </c>
      <c r="G31" s="1487" t="e">
        <f t="shared" si="3"/>
        <v>#DIV/0!</v>
      </c>
    </row>
    <row r="32" spans="3:7">
      <c r="C32" s="1488" t="s">
        <v>130</v>
      </c>
      <c r="D32" s="1489"/>
      <c r="E32" s="1490"/>
      <c r="F32" s="1486">
        <f t="shared" si="2"/>
        <v>0</v>
      </c>
      <c r="G32" s="1487" t="e">
        <f t="shared" si="3"/>
        <v>#DIV/0!</v>
      </c>
    </row>
    <row r="33" spans="3:7">
      <c r="C33" s="1488" t="s">
        <v>132</v>
      </c>
      <c r="D33" s="1489"/>
      <c r="E33" s="1490"/>
      <c r="F33" s="1486">
        <f t="shared" si="2"/>
        <v>0</v>
      </c>
      <c r="G33" s="1487" t="e">
        <f t="shared" si="3"/>
        <v>#DIV/0!</v>
      </c>
    </row>
    <row r="34" spans="3:7">
      <c r="C34" s="1488" t="s">
        <v>134</v>
      </c>
      <c r="D34" s="1491"/>
      <c r="E34" s="1492"/>
      <c r="F34" s="1486">
        <f t="shared" si="2"/>
        <v>0</v>
      </c>
      <c r="G34" s="1487" t="e">
        <f t="shared" si="3"/>
        <v>#DIV/0!</v>
      </c>
    </row>
    <row r="35" spans="3:7">
      <c r="C35" s="1488" t="s">
        <v>136</v>
      </c>
      <c r="D35" s="1493"/>
      <c r="E35" s="1492"/>
      <c r="F35" s="1486">
        <f t="shared" si="2"/>
        <v>0</v>
      </c>
      <c r="G35" s="1487" t="e">
        <f t="shared" si="3"/>
        <v>#DIV/0!</v>
      </c>
    </row>
    <row r="36" spans="3:7">
      <c r="C36" s="1488" t="s">
        <v>138</v>
      </c>
      <c r="D36" s="1493"/>
      <c r="E36" s="1492"/>
      <c r="F36" s="1486">
        <f t="shared" si="2"/>
        <v>0</v>
      </c>
      <c r="G36" s="1487" t="e">
        <f t="shared" si="3"/>
        <v>#DIV/0!</v>
      </c>
    </row>
    <row r="37" spans="3:7">
      <c r="C37" s="1488" t="s">
        <v>139</v>
      </c>
      <c r="D37" s="1493"/>
      <c r="E37" s="1492"/>
      <c r="F37" s="1486">
        <f t="shared" si="2"/>
        <v>0</v>
      </c>
      <c r="G37" s="1487" t="e">
        <f t="shared" si="3"/>
        <v>#DIV/0!</v>
      </c>
    </row>
    <row r="38" spans="3:7">
      <c r="C38" s="1488" t="s">
        <v>140</v>
      </c>
      <c r="D38" s="1493"/>
      <c r="E38" s="1492"/>
      <c r="F38" s="1486">
        <f t="shared" si="2"/>
        <v>0</v>
      </c>
      <c r="G38" s="1487" t="e">
        <f t="shared" si="3"/>
        <v>#DIV/0!</v>
      </c>
    </row>
    <row r="39" spans="3:7">
      <c r="C39" s="1488" t="s">
        <v>142</v>
      </c>
      <c r="D39" s="1493"/>
      <c r="E39" s="1492"/>
      <c r="F39" s="1486">
        <f t="shared" si="2"/>
        <v>0</v>
      </c>
      <c r="G39" s="1487" t="e">
        <f t="shared" si="3"/>
        <v>#DIV/0!</v>
      </c>
    </row>
    <row r="40" spans="3:7" ht="15.75" thickBot="1">
      <c r="C40" s="1494" t="s">
        <v>144</v>
      </c>
      <c r="D40" s="1495"/>
      <c r="E40" s="1496"/>
      <c r="F40" s="1486">
        <f t="shared" si="2"/>
        <v>0</v>
      </c>
      <c r="G40" s="1487" t="e">
        <f t="shared" si="3"/>
        <v>#DIV/0!</v>
      </c>
    </row>
    <row r="41" spans="3:7">
      <c r="C41" s="1497" t="s">
        <v>334</v>
      </c>
      <c r="D41" s="1498">
        <f>SUM(D29:D40)</f>
        <v>219878</v>
      </c>
      <c r="E41" s="1499">
        <f>SUM(E29:E40)</f>
        <v>506259</v>
      </c>
      <c r="F41" s="1498">
        <f>SUM(F29:F40)</f>
        <v>726137</v>
      </c>
      <c r="G41" s="1500"/>
    </row>
    <row r="42" spans="3:7" ht="15.75" thickBot="1">
      <c r="C42" s="1501" t="s">
        <v>1351</v>
      </c>
      <c r="D42" s="1502"/>
      <c r="E42" s="1503"/>
      <c r="F42" s="1502"/>
      <c r="G42" s="1504">
        <f>AVERAGEIF(G29:G40, "&gt;0")</f>
        <v>0.30280511804246307</v>
      </c>
    </row>
  </sheetData>
  <mergeCells count="6">
    <mergeCell ref="C3:G3"/>
    <mergeCell ref="C4:C5"/>
    <mergeCell ref="D4:G5"/>
    <mergeCell ref="C25:G25"/>
    <mergeCell ref="C26:C27"/>
    <mergeCell ref="D26:G27"/>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50AC4884E848C4C9102B953F1F3A47E" ma:contentTypeVersion="12" ma:contentTypeDescription="Create a new document." ma:contentTypeScope="" ma:versionID="194fbe676cf2d99f96dabc674eb6fe43">
  <xsd:schema xmlns:xsd="http://www.w3.org/2001/XMLSchema" xmlns:xs="http://www.w3.org/2001/XMLSchema" xmlns:p="http://schemas.microsoft.com/office/2006/metadata/properties" xmlns:ns2="9564044b-f4f8-41cc-bd17-97dece50b815" xmlns:ns3="49e2990c-85cc-44a1-984f-3f3550fd1c69" targetNamespace="http://schemas.microsoft.com/office/2006/metadata/properties" ma:root="true" ma:fieldsID="89be7410f014da1d24303999f6e9aef5" ns2:_="" ns3:_="">
    <xsd:import namespace="9564044b-f4f8-41cc-bd17-97dece50b815"/>
    <xsd:import namespace="49e2990c-85cc-44a1-984f-3f3550fd1c69"/>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64044b-f4f8-41cc-bd17-97dece50b81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9a0f588a-2e7d-4e7e-ba78-906b7373d04a"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9e2990c-85cc-44a1-984f-3f3550fd1c69"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322d4393-daf4-44af-8702-63ada426762a}" ma:internalName="TaxCatchAll" ma:showField="CatchAllData" ma:web="49e2990c-85cc-44a1-984f-3f3550fd1c6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haredWithUsers xmlns="49e2990c-85cc-44a1-984f-3f3550fd1c69">
      <UserInfo>
        <DisplayName>Onty Islam</DisplayName>
        <AccountId>13</AccountId>
        <AccountType/>
      </UserInfo>
    </SharedWithUsers>
    <TaxCatchAll xmlns="49e2990c-85cc-44a1-984f-3f3550fd1c69" xsi:nil="true"/>
    <lcf76f155ced4ddcb4097134ff3c332f xmlns="9564044b-f4f8-41cc-bd17-97dece50b815">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DF892134-3D02-4C27-86A9-95545E5947E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64044b-f4f8-41cc-bd17-97dece50b815"/>
    <ds:schemaRef ds:uri="49e2990c-85cc-44a1-984f-3f3550fd1c6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8EF1637-F14E-474D-92BC-18C0A6A46698}">
  <ds:schemaRefs>
    <ds:schemaRef ds:uri="http://schemas.microsoft.com/sharepoint/v3/contenttype/forms"/>
  </ds:schemaRefs>
</ds:datastoreItem>
</file>

<file path=customXml/itemProps3.xml><?xml version="1.0" encoding="utf-8"?>
<ds:datastoreItem xmlns:ds="http://schemas.openxmlformats.org/officeDocument/2006/customXml" ds:itemID="{45729B37-082C-41F6-AA78-331446098C94}">
  <ds:schemaRefs>
    <ds:schemaRef ds:uri="http://schemas.microsoft.com/office/2006/metadata/properties"/>
    <ds:schemaRef ds:uri="http://schemas.microsoft.com/office/infopath/2007/PartnerControls"/>
    <ds:schemaRef ds:uri="49e2990c-85cc-44a1-984f-3f3550fd1c69"/>
    <ds:schemaRef ds:uri="9564044b-f4f8-41cc-bd17-97dece50b81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47</vt:i4>
      </vt:variant>
      <vt:variant>
        <vt:lpstr>Named Ranges</vt:lpstr>
      </vt:variant>
      <vt:variant>
        <vt:i4>2</vt:i4>
      </vt:variant>
    </vt:vector>
  </HeadingPairs>
  <TitlesOfParts>
    <vt:vector size="49" baseType="lpstr">
      <vt:lpstr>Team Identity Card</vt:lpstr>
      <vt:lpstr>Project Sum</vt:lpstr>
      <vt:lpstr>Sustainability Dashboard</vt:lpstr>
      <vt:lpstr>Graphical Dashboard -F</vt:lpstr>
      <vt:lpstr>RRR</vt:lpstr>
      <vt:lpstr>Month</vt:lpstr>
      <vt:lpstr>Dashboard Data</vt:lpstr>
      <vt:lpstr>Data Entry CheckList</vt:lpstr>
      <vt:lpstr>Sustainability Performance</vt:lpstr>
      <vt:lpstr>Production</vt:lpstr>
      <vt:lpstr>People</vt:lpstr>
      <vt:lpstr>Climate</vt:lpstr>
      <vt:lpstr>Water-Sum</vt:lpstr>
      <vt:lpstr>GHG calculations</vt:lpstr>
      <vt:lpstr>Waste</vt:lpstr>
      <vt:lpstr>Energy</vt:lpstr>
      <vt:lpstr>Product</vt:lpstr>
      <vt:lpstr>Material</vt:lpstr>
      <vt:lpstr>Packaging</vt:lpstr>
      <vt:lpstr>Environmental-Grievance</vt:lpstr>
      <vt:lpstr>Environmental Cost</vt:lpstr>
      <vt:lpstr>Impacts</vt:lpstr>
      <vt:lpstr>Cat-1</vt:lpstr>
      <vt:lpstr>Cat-2</vt:lpstr>
      <vt:lpstr>Cat-3</vt:lpstr>
      <vt:lpstr>Cat-4</vt:lpstr>
      <vt:lpstr>Total</vt:lpstr>
      <vt:lpstr>Fuel for Shuttle Micro</vt:lpstr>
      <vt:lpstr>Diesel </vt:lpstr>
      <vt:lpstr>Electricity</vt:lpstr>
      <vt:lpstr>Gas</vt:lpstr>
      <vt:lpstr>Water</vt:lpstr>
      <vt:lpstr>Solar Generation</vt:lpstr>
      <vt:lpstr>Business Travel</vt:lpstr>
      <vt:lpstr>Import Data</vt:lpstr>
      <vt:lpstr>Export Data</vt:lpstr>
      <vt:lpstr>Wastage Raw Data</vt:lpstr>
      <vt:lpstr>Segregated wastage</vt:lpstr>
      <vt:lpstr>Food Wastage</vt:lpstr>
      <vt:lpstr>Rain water Collection</vt:lpstr>
      <vt:lpstr>Recycle Water</vt:lpstr>
      <vt:lpstr>Production-Ciospi</vt:lpstr>
      <vt:lpstr>Packaging Raw Data File</vt:lpstr>
      <vt:lpstr>Material Consumption</vt:lpstr>
      <vt:lpstr>Chemical Consumption</vt:lpstr>
      <vt:lpstr>Recyclable Material</vt:lpstr>
      <vt:lpstr>Purchased Materials</vt:lpstr>
      <vt:lpstr>Water!Print_Area</vt:lpstr>
      <vt:lpstr>'Team Identity Card'!Print_Titles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Zehra Neshat</dc:creator>
  <cp:keywords/>
  <dc:description/>
  <cp:lastModifiedBy>Zahirul Islam</cp:lastModifiedBy>
  <cp:revision/>
  <dcterms:created xsi:type="dcterms:W3CDTF">2022-10-19T07:33:08Z</dcterms:created>
  <dcterms:modified xsi:type="dcterms:W3CDTF">2024-08-09T02:16:13Z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0x010100250AC4884E848C4C9102B953F1F3A47E</vt:lpwstr>
  </property>
  <property fmtid="{D5CDD505-2E9C-101B-9397-08002B2CF9AE}" pid="3" name="MediaServiceImageTags">
    <vt:lpwstr/>
  </property>
</Properties>
</file>