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ZahraIranpour\Desktop\اقتصاد\project\"/>
    </mc:Choice>
  </mc:AlternateContent>
  <xr:revisionPtr revIDLastSave="0" documentId="13_ncr:1_{FDBEA91B-A7D5-4540-9FB8-CED5AD727F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5" i="1"/>
  <c r="K14" i="1" l="1"/>
  <c r="K13" i="1"/>
  <c r="K12" i="1"/>
  <c r="K11" i="1"/>
  <c r="K10" i="1"/>
  <c r="K9" i="1"/>
  <c r="K8" i="1"/>
  <c r="O16" i="1" l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8" i="1"/>
  <c r="N10" i="1"/>
  <c r="N9" i="1"/>
  <c r="Q9" i="1" s="1"/>
  <c r="N7" i="1"/>
  <c r="N6" i="1"/>
  <c r="N5" i="1"/>
  <c r="N4" i="1"/>
  <c r="N3" i="1"/>
  <c r="N2" i="1"/>
  <c r="R1" i="1"/>
  <c r="Q1" i="1"/>
  <c r="K1" i="1"/>
  <c r="Q13" i="1" l="1"/>
  <c r="R8" i="1"/>
  <c r="K4" i="1"/>
  <c r="Q4" i="1" s="1"/>
  <c r="R9" i="1"/>
  <c r="R11" i="1"/>
  <c r="K16" i="1"/>
  <c r="R16" i="1" s="1"/>
  <c r="K2" i="1"/>
  <c r="Q12" i="1"/>
  <c r="K15" i="1"/>
  <c r="R15" i="1" s="1"/>
  <c r="K5" i="1"/>
  <c r="R5" i="1" s="1"/>
  <c r="R14" i="1"/>
  <c r="K6" i="1"/>
  <c r="Q6" i="1" s="1"/>
  <c r="K7" i="1"/>
  <c r="Q7" i="1" s="1"/>
  <c r="K3" i="1"/>
  <c r="Q3" i="1" s="1"/>
  <c r="N36" i="1" l="1"/>
  <c r="G6" i="1"/>
  <c r="N35" i="1"/>
  <c r="N31" i="1"/>
  <c r="N34" i="1"/>
  <c r="N37" i="1"/>
  <c r="N32" i="1"/>
  <c r="N33" i="1"/>
  <c r="R2" i="1"/>
  <c r="E33" i="1"/>
  <c r="E32" i="1"/>
  <c r="E31" i="1"/>
  <c r="E28" i="1"/>
  <c r="E27" i="1"/>
  <c r="E26" i="1"/>
  <c r="E30" i="1"/>
  <c r="E35" i="1"/>
  <c r="E34" i="1"/>
  <c r="E29" i="1"/>
  <c r="E36" i="1"/>
  <c r="F33" i="1"/>
  <c r="F29" i="1"/>
  <c r="F35" i="1"/>
  <c r="F30" i="1"/>
  <c r="F27" i="1"/>
  <c r="F36" i="1"/>
  <c r="F31" i="1"/>
  <c r="F34" i="1"/>
  <c r="F32" i="1"/>
  <c r="Q5" i="1"/>
  <c r="Q2" i="1"/>
  <c r="F22" i="1"/>
  <c r="Q8" i="1"/>
  <c r="Q14" i="1"/>
  <c r="R4" i="1"/>
  <c r="Q10" i="1"/>
  <c r="R10" i="1"/>
  <c r="Q16" i="1"/>
  <c r="Q11" i="1"/>
  <c r="R13" i="1"/>
  <c r="Q15" i="1"/>
  <c r="R12" i="1"/>
  <c r="F25" i="1"/>
  <c r="R3" i="1"/>
  <c r="R6" i="1"/>
  <c r="G2" i="1"/>
  <c r="G10" i="1" s="1"/>
  <c r="G15" i="1" s="1"/>
  <c r="F28" i="1"/>
  <c r="R7" i="1"/>
  <c r="F24" i="1"/>
  <c r="F23" i="1"/>
  <c r="F26" i="1"/>
  <c r="I2" i="1"/>
  <c r="E25" i="1"/>
  <c r="E24" i="1"/>
  <c r="E23" i="1"/>
  <c r="E22" i="1"/>
  <c r="G3" i="1" l="1"/>
  <c r="G11" i="1" s="1"/>
  <c r="G16" i="1" s="1"/>
  <c r="J22" i="1"/>
  <c r="R35" i="1"/>
  <c r="R34" i="1"/>
  <c r="R33" i="1"/>
  <c r="R30" i="1"/>
  <c r="R37" i="1"/>
  <c r="R36" i="1"/>
  <c r="R32" i="1"/>
  <c r="H23" i="1"/>
  <c r="P35" i="1"/>
  <c r="P34" i="1"/>
  <c r="P33" i="1"/>
  <c r="P37" i="1"/>
  <c r="P32" i="1"/>
  <c r="P31" i="1"/>
  <c r="P36" i="1"/>
  <c r="H24" i="1"/>
  <c r="G31" i="1"/>
  <c r="G30" i="1"/>
  <c r="G36" i="1"/>
  <c r="G35" i="1"/>
  <c r="G27" i="1"/>
  <c r="G26" i="1"/>
  <c r="G33" i="1"/>
  <c r="G32" i="1"/>
  <c r="G29" i="1"/>
  <c r="G28" i="1"/>
  <c r="G34" i="1"/>
  <c r="H33" i="1"/>
  <c r="H32" i="1"/>
  <c r="H31" i="1"/>
  <c r="H30" i="1"/>
  <c r="H29" i="1"/>
  <c r="H34" i="1"/>
  <c r="H35" i="1"/>
  <c r="H36" i="1"/>
  <c r="I35" i="1"/>
  <c r="I27" i="1"/>
  <c r="I33" i="1"/>
  <c r="I28" i="1"/>
  <c r="I34" i="1"/>
  <c r="I26" i="1"/>
  <c r="I32" i="1"/>
  <c r="I30" i="1"/>
  <c r="I29" i="1"/>
  <c r="I36" i="1"/>
  <c r="I31" i="1"/>
  <c r="J29" i="1"/>
  <c r="J36" i="1"/>
  <c r="J31" i="1"/>
  <c r="J32" i="1"/>
  <c r="J34" i="1"/>
  <c r="J33" i="1"/>
  <c r="J30" i="1"/>
  <c r="J35" i="1"/>
  <c r="G7" i="1"/>
  <c r="H26" i="1"/>
  <c r="H25" i="1"/>
  <c r="H22" i="1"/>
  <c r="H27" i="1"/>
  <c r="J25" i="1"/>
  <c r="G8" i="1"/>
  <c r="F39" i="1"/>
  <c r="J23" i="1"/>
  <c r="J24" i="1"/>
  <c r="E39" i="1"/>
  <c r="J28" i="1"/>
  <c r="H28" i="1"/>
  <c r="J27" i="1"/>
  <c r="I3" i="1"/>
  <c r="J26" i="1"/>
  <c r="G4" i="1"/>
  <c r="G12" i="1" s="1"/>
  <c r="G17" i="1" s="1"/>
  <c r="I4" i="1"/>
  <c r="N30" i="1"/>
  <c r="N29" i="1"/>
  <c r="N28" i="1"/>
  <c r="N27" i="1"/>
  <c r="N26" i="1"/>
  <c r="N25" i="1"/>
  <c r="N24" i="1"/>
  <c r="N23" i="1"/>
  <c r="N22" i="1"/>
  <c r="H39" i="1" l="1"/>
  <c r="J39" i="1"/>
  <c r="G25" i="1"/>
  <c r="G24" i="1"/>
  <c r="G22" i="1"/>
  <c r="G23" i="1"/>
  <c r="I24" i="1"/>
  <c r="I22" i="1"/>
  <c r="I25" i="1"/>
  <c r="I23" i="1"/>
  <c r="R28" i="1"/>
  <c r="R27" i="1"/>
  <c r="R26" i="1"/>
  <c r="R24" i="1"/>
  <c r="R31" i="1"/>
  <c r="R23" i="1"/>
  <c r="R25" i="1"/>
  <c r="R22" i="1"/>
  <c r="R29" i="1"/>
  <c r="P23" i="1"/>
  <c r="P27" i="1"/>
  <c r="P30" i="1"/>
  <c r="P22" i="1"/>
  <c r="P28" i="1"/>
  <c r="P26" i="1"/>
  <c r="P25" i="1"/>
  <c r="P24" i="1"/>
  <c r="P29" i="1"/>
  <c r="I39" i="1" l="1"/>
  <c r="G39" i="1"/>
</calcChain>
</file>

<file path=xl/sharedStrings.xml><?xml version="1.0" encoding="utf-8"?>
<sst xmlns="http://schemas.openxmlformats.org/spreadsheetml/2006/main" count="77" uniqueCount="69">
  <si>
    <t>IRR</t>
  </si>
  <si>
    <t>روند بدون مالیات</t>
  </si>
  <si>
    <t>روند تحت مالیات -خطی</t>
  </si>
  <si>
    <t>روند تحت مالیات-SoYD</t>
  </si>
  <si>
    <t>نرخ بازگشت بدون مالیات</t>
  </si>
  <si>
    <t>نرخ بازگشت به همراه مالیات-خطی</t>
  </si>
  <si>
    <t>نرخ بازگشت به همره مالیات-SoYD</t>
  </si>
  <si>
    <t>NPW</t>
  </si>
  <si>
    <t>NAW</t>
  </si>
  <si>
    <t>ارزش یکنواخت سالیانه بدون مالیات</t>
  </si>
  <si>
    <t>بررسی نرخ بازگشت سرمایه-حالت 1</t>
  </si>
  <si>
    <t>بررسی نرخ بازگشت سرمایه-حالت 2</t>
  </si>
  <si>
    <t>بررسی نرخ بازگشت سرمایه-حالت 3</t>
  </si>
  <si>
    <t>i=10%</t>
  </si>
  <si>
    <t>i=12%</t>
  </si>
  <si>
    <t>i=15%</t>
  </si>
  <si>
    <t>i=18%</t>
  </si>
  <si>
    <t>i=21%</t>
  </si>
  <si>
    <t>i=27%</t>
  </si>
  <si>
    <t>i=30%</t>
  </si>
  <si>
    <t>i=33%</t>
  </si>
  <si>
    <t>i=36%</t>
  </si>
  <si>
    <t>i=24%</t>
  </si>
  <si>
    <t xml:space="preserve">بررسی استهلاک سالانه با 2 روش خطی و جمع سنوات </t>
  </si>
  <si>
    <t>ارزش یکنواخت سالیانه به همراه تاثیر مالیات-SoYD</t>
  </si>
  <si>
    <t>بررسی نرخ بازگشت سرمایه در حالات مورد نظر</t>
  </si>
  <si>
    <t>n=1</t>
  </si>
  <si>
    <t>n=2</t>
  </si>
  <si>
    <t>n=3</t>
  </si>
  <si>
    <t>n=4</t>
  </si>
  <si>
    <t>n=5</t>
  </si>
  <si>
    <t>n=6</t>
  </si>
  <si>
    <t>n=7</t>
  </si>
  <si>
    <r>
      <t>بررسی دوره بازگشت سرمایه-</t>
    </r>
    <r>
      <rPr>
        <sz val="14"/>
        <color theme="7" tint="0.39997558519241921"/>
        <rFont val="Calibri"/>
        <family val="2"/>
        <scheme val="minor"/>
      </rPr>
      <t>تنزیل شده</t>
    </r>
    <r>
      <rPr>
        <sz val="14"/>
        <color theme="1"/>
        <rFont val="Calibri"/>
        <family val="2"/>
        <scheme val="minor"/>
      </rPr>
      <t xml:space="preserve"> و </t>
    </r>
    <r>
      <rPr>
        <sz val="14"/>
        <color theme="8"/>
        <rFont val="Calibri"/>
        <family val="2"/>
        <scheme val="minor"/>
      </rPr>
      <t>تنزیل نشده</t>
    </r>
  </si>
  <si>
    <t>ارزش فعلی بدون مالیات</t>
  </si>
  <si>
    <t>ارزش فعلی به همراه تاثیر مالیات-خطی</t>
  </si>
  <si>
    <t>ارزش فعلی به همراه تاثیر مالیات-SoYD</t>
  </si>
  <si>
    <t>Benefit/cost</t>
  </si>
  <si>
    <t>NFW</t>
  </si>
  <si>
    <t>ارزش آینده-بدون مالیات</t>
  </si>
  <si>
    <t>ارزش آینده به همراه تاثیر مالیات-خطی</t>
  </si>
  <si>
    <t>ارزش آینده به همراه تاثیر مالیات-SoYd</t>
  </si>
  <si>
    <t>دوره بازگشت سرمایه</t>
  </si>
  <si>
    <t>Dep-linear</t>
  </si>
  <si>
    <t>Dep-SoYD</t>
  </si>
  <si>
    <t>inflation rate</t>
  </si>
  <si>
    <t>ارزش یکنواخت سالیانه به همراه تاثیر مالیات-خطی</t>
  </si>
  <si>
    <t>prime cost</t>
  </si>
  <si>
    <t>annual cash flow</t>
  </si>
  <si>
    <t>annual cash flow inc rate</t>
  </si>
  <si>
    <t>n=8</t>
  </si>
  <si>
    <t>Interest rate</t>
  </si>
  <si>
    <t>n</t>
  </si>
  <si>
    <t>Tax</t>
  </si>
  <si>
    <t>iT=i+f+i*f</t>
  </si>
  <si>
    <t>n=9</t>
  </si>
  <si>
    <t>n=10</t>
  </si>
  <si>
    <t>n=11</t>
  </si>
  <si>
    <t>n=12</t>
  </si>
  <si>
    <t>n=13</t>
  </si>
  <si>
    <t>n=14</t>
  </si>
  <si>
    <t>n=15</t>
  </si>
  <si>
    <t>i=39%</t>
  </si>
  <si>
    <t>i=42%</t>
  </si>
  <si>
    <t>i=45%</t>
  </si>
  <si>
    <t>i=48%</t>
  </si>
  <si>
    <t>i=51%</t>
  </si>
  <si>
    <t>i=54%</t>
  </si>
  <si>
    <t xml:space="preserve"> i or iF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</si>
</sst>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7" tint="0.399975585192419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8" borderId="0" applyNumberFormat="0" applyBorder="0" applyAlignment="0" applyProtection="0"/>
    <xf numFmtId="44" fontId="1" fillId="0" borderId="0" applyFont="0" applyFill="0" applyBorder="0" applyAlignment="0" applyProtection="0"/>
    <xf numFmtId="0" fontId="7" fillId="11" borderId="0" applyNumberFormat="0" applyBorder="0" applyAlignment="0" applyProtection="0"/>
  </cellStyleXfs>
  <cellXfs count="28">
    <xf numFmtId="0" fontId="0" fillId="0" borderId="0" xfId="0"/>
    <xf numFmtId="0" fontId="6" fillId="8" borderId="0" xfId="2" applyAlignment="1">
      <alignment horizontal="center" vertical="center"/>
    </xf>
    <xf numFmtId="9" fontId="6" fillId="8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8" fontId="0" fillId="6" borderId="0" xfId="0" applyNumberFormat="1" applyFill="1" applyAlignment="1">
      <alignment horizontal="center" vertical="center"/>
    </xf>
    <xf numFmtId="164" fontId="6" fillId="8" borderId="0" xfId="2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9" borderId="0" xfId="2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11" borderId="0" xfId="4" applyAlignment="1">
      <alignment horizontal="center" vertical="center"/>
    </xf>
    <xf numFmtId="9" fontId="7" fillId="11" borderId="0" xfId="4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8" fontId="0" fillId="7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3" applyNumberFormat="1" applyFont="1" applyFill="1" applyAlignment="1">
      <alignment horizontal="center" vertical="center"/>
    </xf>
    <xf numFmtId="8" fontId="0" fillId="1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">
    <cellStyle name="Currency" xfId="3" builtinId="4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ar-BH" sz="1800" b="0" i="0" baseline="0">
                <a:effectLst/>
              </a:rPr>
              <a:t>ب</a:t>
            </a:r>
            <a:r>
              <a:rPr lang="fa-IR" sz="1800" b="0" i="0" baseline="0">
                <a:effectLst/>
              </a:rPr>
              <a:t>ررسی روند مالی در هر 3 حالت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Sheet1!$K$1:$K$16</c:f>
              <c:numCache>
                <c:formatCode>General</c:formatCode>
                <c:ptCount val="16"/>
                <c:pt idx="0">
                  <c:v>-1400</c:v>
                </c:pt>
                <c:pt idx="1">
                  <c:v>353</c:v>
                </c:pt>
                <c:pt idx="2">
                  <c:v>382</c:v>
                </c:pt>
                <c:pt idx="3">
                  <c:v>411</c:v>
                </c:pt>
                <c:pt idx="4">
                  <c:v>440</c:v>
                </c:pt>
                <c:pt idx="5">
                  <c:v>469</c:v>
                </c:pt>
                <c:pt idx="6">
                  <c:v>498</c:v>
                </c:pt>
                <c:pt idx="7">
                  <c:v>527</c:v>
                </c:pt>
                <c:pt idx="8">
                  <c:v>556</c:v>
                </c:pt>
                <c:pt idx="9">
                  <c:v>585</c:v>
                </c:pt>
                <c:pt idx="10">
                  <c:v>614</c:v>
                </c:pt>
                <c:pt idx="11">
                  <c:v>643</c:v>
                </c:pt>
                <c:pt idx="12">
                  <c:v>672</c:v>
                </c:pt>
                <c:pt idx="13">
                  <c:v>701</c:v>
                </c:pt>
                <c:pt idx="14">
                  <c:v>730</c:v>
                </c:pt>
                <c:pt idx="15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7-4895-8F44-F8F0D137D1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Sheet1!$Q$1:$Q$16</c:f>
              <c:numCache>
                <c:formatCode>"$"#,##0.00_);[Red]\("$"#,##0.00\)</c:formatCode>
                <c:ptCount val="16"/>
                <c:pt idx="0" formatCode="General">
                  <c:v>-1400</c:v>
                </c:pt>
                <c:pt idx="1">
                  <c:v>290.68</c:v>
                </c:pt>
                <c:pt idx="2" formatCode="General">
                  <c:v>312.72000000000003</c:v>
                </c:pt>
                <c:pt idx="3" formatCode="General">
                  <c:v>334.76</c:v>
                </c:pt>
                <c:pt idx="4" formatCode="General">
                  <c:v>356.8</c:v>
                </c:pt>
                <c:pt idx="5" formatCode="General">
                  <c:v>378.84000000000003</c:v>
                </c:pt>
                <c:pt idx="6" formatCode="General">
                  <c:v>400.88</c:v>
                </c:pt>
                <c:pt idx="7" formatCode="General">
                  <c:v>422.92</c:v>
                </c:pt>
                <c:pt idx="8" formatCode="General">
                  <c:v>444.96</c:v>
                </c:pt>
                <c:pt idx="9" formatCode="General">
                  <c:v>467</c:v>
                </c:pt>
                <c:pt idx="10" formatCode="General">
                  <c:v>489.04</c:v>
                </c:pt>
                <c:pt idx="11" formatCode="General">
                  <c:v>511.08000000000004</c:v>
                </c:pt>
                <c:pt idx="12" formatCode="General">
                  <c:v>533.12</c:v>
                </c:pt>
                <c:pt idx="13" formatCode="General">
                  <c:v>555.16000000000008</c:v>
                </c:pt>
                <c:pt idx="14" formatCode="General">
                  <c:v>577.20000000000005</c:v>
                </c:pt>
                <c:pt idx="15" formatCode="General">
                  <c:v>599.24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7-4895-8F44-F8F0D137D1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Sheet1!$R$1:$R$16</c:f>
              <c:numCache>
                <c:formatCode>General</c:formatCode>
                <c:ptCount val="16"/>
                <c:pt idx="0">
                  <c:v>-1400</c:v>
                </c:pt>
                <c:pt idx="1">
                  <c:v>310.27999999999997</c:v>
                </c:pt>
                <c:pt idx="2">
                  <c:v>329.52</c:v>
                </c:pt>
                <c:pt idx="3">
                  <c:v>348.76</c:v>
                </c:pt>
                <c:pt idx="4">
                  <c:v>368</c:v>
                </c:pt>
                <c:pt idx="5">
                  <c:v>387.24</c:v>
                </c:pt>
                <c:pt idx="6">
                  <c:v>406.48</c:v>
                </c:pt>
                <c:pt idx="7">
                  <c:v>425.72</c:v>
                </c:pt>
                <c:pt idx="8">
                  <c:v>444.96</c:v>
                </c:pt>
                <c:pt idx="9">
                  <c:v>464.2</c:v>
                </c:pt>
                <c:pt idx="10">
                  <c:v>483.44</c:v>
                </c:pt>
                <c:pt idx="11">
                  <c:v>502.68</c:v>
                </c:pt>
                <c:pt idx="12">
                  <c:v>521.91999999999996</c:v>
                </c:pt>
                <c:pt idx="13">
                  <c:v>541.16</c:v>
                </c:pt>
                <c:pt idx="14">
                  <c:v>560.4</c:v>
                </c:pt>
                <c:pt idx="15">
                  <c:v>579.64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7-4895-8F44-F8F0D137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6275488"/>
        <c:axId val="-656288000"/>
      </c:barChart>
      <c:catAx>
        <c:axId val="-65627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6288000"/>
        <c:crosses val="autoZero"/>
        <c:auto val="1"/>
        <c:lblAlgn val="ctr"/>
        <c:lblOffset val="100"/>
        <c:noMultiLvlLbl val="0"/>
      </c:catAx>
      <c:valAx>
        <c:axId val="-656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627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روند نرخ بازگشت سرمایه</a:t>
            </a:r>
            <a:r>
              <a:rPr lang="fa-IR" baseline="0"/>
              <a:t> برای هر 3 حالت</a:t>
            </a:r>
          </a:p>
          <a:p>
            <a:pPr>
              <a:defRPr/>
            </a:pP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Sheet1!$N$22:$N$37</c:f>
              <c:numCache>
                <c:formatCode>"$"#,##0.00_);[Red]\("$"#,##0.00\)</c:formatCode>
                <c:ptCount val="16"/>
                <c:pt idx="0">
                  <c:v>2449.3537078004133</c:v>
                </c:pt>
                <c:pt idx="1">
                  <c:v>1987.9201359857975</c:v>
                </c:pt>
                <c:pt idx="2">
                  <c:v>1438.2191901233123</c:v>
                </c:pt>
                <c:pt idx="3">
                  <c:v>1015.8061676531684</c:v>
                </c:pt>
                <c:pt idx="4">
                  <c:v>685.81933228999605</c:v>
                </c:pt>
                <c:pt idx="5">
                  <c:v>424.00944972925299</c:v>
                </c:pt>
                <c:pt idx="6">
                  <c:v>213.25216652194672</c:v>
                </c:pt>
                <c:pt idx="7">
                  <c:v>41.277529288752021</c:v>
                </c:pt>
                <c:pt idx="8">
                  <c:v>-100.82974987439206</c:v>
                </c:pt>
                <c:pt idx="9">
                  <c:v>-219.63485633979099</c:v>
                </c:pt>
                <c:pt idx="10">
                  <c:v>-320.03486279600475</c:v>
                </c:pt>
                <c:pt idx="11">
                  <c:v>-405.72775891695903</c:v>
                </c:pt>
                <c:pt idx="12">
                  <c:v>-479.53906786257039</c:v>
                </c:pt>
                <c:pt idx="13">
                  <c:v>-543.65204014831988</c:v>
                </c:pt>
                <c:pt idx="14">
                  <c:v>-599.77177953746934</c:v>
                </c:pt>
                <c:pt idx="15">
                  <c:v>-649.24357566922856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3-41B2-82DE-117771023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Sheet1!$P$22:$P$37</c:f>
              <c:numCache>
                <c:formatCode>"$"#,##0.00_);[Red]\("$"#,##0.00\)</c:formatCode>
                <c:ptCount val="16"/>
                <c:pt idx="0">
                  <c:v>1695.884998869622</c:v>
                </c:pt>
                <c:pt idx="1">
                  <c:v>1327.3826679132217</c:v>
                </c:pt>
                <c:pt idx="2">
                  <c:v>888.02767470305344</c:v>
                </c:pt>
                <c:pt idx="3">
                  <c:v>550.06402473774688</c:v>
                </c:pt>
                <c:pt idx="4">
                  <c:v>285.77644685493942</c:v>
                </c:pt>
                <c:pt idx="5">
                  <c:v>75.876169515415313</c:v>
                </c:pt>
                <c:pt idx="6">
                  <c:v>-93.265923334432955</c:v>
                </c:pt>
                <c:pt idx="7">
                  <c:v>-231.42114632826383</c:v>
                </c:pt>
                <c:pt idx="8">
                  <c:v>-345.69362371256261</c:v>
                </c:pt>
                <c:pt idx="9">
                  <c:v>-441.31808849485606</c:v>
                </c:pt>
                <c:pt idx="10">
                  <c:v>-522.20171147599194</c:v>
                </c:pt>
                <c:pt idx="11">
                  <c:v>-591.29688707550724</c:v>
                </c:pt>
                <c:pt idx="12">
                  <c:v>-650.86093715442405</c:v>
                </c:pt>
                <c:pt idx="13">
                  <c:v>-702.63922484646912</c:v>
                </c:pt>
                <c:pt idx="14">
                  <c:v>-747.99577081423058</c:v>
                </c:pt>
                <c:pt idx="15">
                  <c:v>-788.00746876113271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3-41B2-82DE-117771023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Sheet1!$R$22:$R$37</c:f>
              <c:numCache>
                <c:formatCode>"$"#,##0.00_);[Red]\("$"#,##0.00\)</c:formatCode>
                <c:ptCount val="16"/>
                <c:pt idx="0">
                  <c:v>1732.5385917516796</c:v>
                </c:pt>
                <c:pt idx="1">
                  <c:v>1365.8991319283559</c:v>
                </c:pt>
                <c:pt idx="2">
                  <c:v>927.89567598593658</c:v>
                </c:pt>
                <c:pt idx="3">
                  <c:v>590.14370316547729</c:v>
                </c:pt>
                <c:pt idx="4">
                  <c:v>325.36926735317024</c:v>
                </c:pt>
                <c:pt idx="5">
                  <c:v>114.56541735611586</c:v>
                </c:pt>
                <c:pt idx="6">
                  <c:v>-55.716515530768447</c:v>
                </c:pt>
                <c:pt idx="7">
                  <c:v>-195.13238249566712</c:v>
                </c:pt>
                <c:pt idx="8">
                  <c:v>-310.71280164392238</c:v>
                </c:pt>
                <c:pt idx="9">
                  <c:v>-407.64624162497171</c:v>
                </c:pt>
                <c:pt idx="10">
                  <c:v>-489.81136247142899</c:v>
                </c:pt>
                <c:pt idx="11">
                  <c:v>-560.14363537849067</c:v>
                </c:pt>
                <c:pt idx="12">
                  <c:v>-620.8910122480894</c:v>
                </c:pt>
                <c:pt idx="13">
                  <c:v>-673.79438532164363</c:v>
                </c:pt>
                <c:pt idx="14">
                  <c:v>-720.21644990785092</c:v>
                </c:pt>
                <c:pt idx="15">
                  <c:v>-761.23475842238247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3-41B2-82DE-11777102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0182896"/>
        <c:axId val="-500183984"/>
      </c:lineChart>
      <c:catAx>
        <c:axId val="-5001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183984"/>
        <c:crosses val="autoZero"/>
        <c:auto val="1"/>
        <c:lblAlgn val="ctr"/>
        <c:lblOffset val="100"/>
        <c:noMultiLvlLbl val="0"/>
      </c:catAx>
      <c:valAx>
        <c:axId val="-500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18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43543</xdr:colOff>
      <xdr:row>0</xdr:row>
      <xdr:rowOff>0</xdr:rowOff>
    </xdr:from>
    <xdr:to>
      <xdr:col>38</xdr:col>
      <xdr:colOff>261256</xdr:colOff>
      <xdr:row>40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827313</xdr:colOff>
      <xdr:row>42</xdr:row>
      <xdr:rowOff>18142</xdr:rowOff>
    </xdr:from>
    <xdr:to>
      <xdr:col>19</xdr:col>
      <xdr:colOff>705756</xdr:colOff>
      <xdr:row>87</xdr:row>
      <xdr:rowOff>105230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zoomScale="70" zoomScaleNormal="70" workbookViewId="0">
      <selection activeCell="B15" sqref="B15"/>
    </sheetView>
  </sheetViews>
  <sheetFormatPr defaultRowHeight="14.5" x14ac:dyDescent="0.35"/>
  <cols>
    <col min="1" max="1" width="21.90625" style="3" customWidth="1"/>
    <col min="2" max="2" width="13.08984375" style="3" customWidth="1"/>
    <col min="3" max="3" width="19.90625" style="3" customWidth="1"/>
    <col min="4" max="4" width="5.54296875" style="3" customWidth="1"/>
    <col min="5" max="5" width="8.7265625" style="3" customWidth="1"/>
    <col min="6" max="6" width="10.54296875" style="3" bestFit="1" customWidth="1"/>
    <col min="7" max="7" width="16.36328125" style="3" customWidth="1"/>
    <col min="8" max="8" width="10.08984375" style="3" bestFit="1" customWidth="1"/>
    <col min="9" max="9" width="8.7265625" style="3"/>
    <col min="10" max="10" width="10.08984375" style="3" bestFit="1" customWidth="1"/>
    <col min="11" max="11" width="13.08984375" style="3" customWidth="1"/>
    <col min="12" max="13" width="8.7265625" style="3"/>
    <col min="14" max="14" width="9.54296875" style="3" bestFit="1" customWidth="1"/>
    <col min="15" max="15" width="14" style="3" customWidth="1"/>
    <col min="16" max="16" width="18.6328125" style="3" customWidth="1"/>
    <col min="17" max="17" width="22.1796875" style="3" customWidth="1"/>
    <col min="18" max="18" width="25.08984375" style="3" customWidth="1"/>
    <col min="19" max="19" width="30.08984375" style="3" customWidth="1"/>
    <col min="20" max="20" width="22.81640625" style="3" customWidth="1"/>
    <col min="21" max="21" width="14.81640625" style="3" customWidth="1"/>
    <col min="22" max="16384" width="8.7265625" style="3"/>
  </cols>
  <sheetData>
    <row r="1" spans="1:18" ht="14.5" customHeight="1" x14ac:dyDescent="0.35">
      <c r="A1" s="1" t="s">
        <v>53</v>
      </c>
      <c r="B1" s="2">
        <v>0.24</v>
      </c>
      <c r="H1" s="27" t="s">
        <v>37</v>
      </c>
      <c r="I1" s="27"/>
      <c r="J1" s="27"/>
      <c r="K1" s="4">
        <f>-B7</f>
        <v>-1400</v>
      </c>
      <c r="M1" s="22" t="s">
        <v>23</v>
      </c>
      <c r="N1" s="22"/>
      <c r="O1" s="22"/>
      <c r="P1" s="22"/>
      <c r="Q1" s="5">
        <f>-B7</f>
        <v>-1400</v>
      </c>
      <c r="R1" s="6">
        <f>-B7</f>
        <v>-1400</v>
      </c>
    </row>
    <row r="2" spans="1:18" x14ac:dyDescent="0.35">
      <c r="A2" s="1" t="s">
        <v>51</v>
      </c>
      <c r="B2" s="2">
        <v>0.18</v>
      </c>
      <c r="C2" s="25" t="s">
        <v>34</v>
      </c>
      <c r="D2" s="25"/>
      <c r="E2" s="25"/>
      <c r="F2" s="3" t="s">
        <v>7</v>
      </c>
      <c r="G2" s="7">
        <f>NPV(B14,K2:K16)+K1</f>
        <v>1015.8061676531684</v>
      </c>
      <c r="I2" s="3">
        <f>NPV(B14,K2:K16)/-K1</f>
        <v>1.7255758340379774</v>
      </c>
      <c r="K2" s="4">
        <f>B8</f>
        <v>353</v>
      </c>
      <c r="N2" s="8">
        <f>SLN(B7,0,15)</f>
        <v>93.333333333333329</v>
      </c>
      <c r="O2" s="9">
        <f>SYD(B7,0,15,1)</f>
        <v>175</v>
      </c>
      <c r="Q2" s="8">
        <f>SUM(K2,-B1*(K2-N2))</f>
        <v>290.68</v>
      </c>
      <c r="R2" s="6">
        <f>SUM(K2,-B1*(K2-O2))</f>
        <v>310.27999999999997</v>
      </c>
    </row>
    <row r="3" spans="1:18" x14ac:dyDescent="0.35">
      <c r="A3" s="1" t="s">
        <v>52</v>
      </c>
      <c r="B3" s="1">
        <v>15</v>
      </c>
      <c r="C3" s="25" t="s">
        <v>35</v>
      </c>
      <c r="D3" s="25"/>
      <c r="E3" s="25"/>
      <c r="F3" s="3" t="s">
        <v>7</v>
      </c>
      <c r="G3" s="7">
        <f>NPV(B14,Q2:Q16)+Q1</f>
        <v>550.06402473774688</v>
      </c>
      <c r="I3" s="3">
        <f>NPV(B14,Q2:Q16)/-Q1</f>
        <v>1.3929028748126764</v>
      </c>
      <c r="K3" s="4">
        <f>B8+1*B9</f>
        <v>382</v>
      </c>
      <c r="N3" s="8">
        <f>SLN(B7,0,15)</f>
        <v>93.333333333333329</v>
      </c>
      <c r="O3" s="9">
        <f>SYD(B7,0,15,2)</f>
        <v>163.33333333333334</v>
      </c>
      <c r="Q3" s="5">
        <f>SUM(K3,-B1*(K3-N3))</f>
        <v>312.72000000000003</v>
      </c>
      <c r="R3" s="6">
        <f>SUM(K3,-B1*(K3-O3))</f>
        <v>329.52</v>
      </c>
    </row>
    <row r="4" spans="1:18" x14ac:dyDescent="0.35">
      <c r="A4" s="1" t="s">
        <v>45</v>
      </c>
      <c r="B4" s="2">
        <v>0.44</v>
      </c>
      <c r="C4" s="25" t="s">
        <v>36</v>
      </c>
      <c r="D4" s="25"/>
      <c r="E4" s="25"/>
      <c r="F4" s="3" t="s">
        <v>7</v>
      </c>
      <c r="G4" s="7">
        <f>NPV(B14,R2:R16)+R1</f>
        <v>590.14370316547729</v>
      </c>
      <c r="I4" s="3">
        <f>NPV(B14,R2:R16)/-R1</f>
        <v>1.4215312165467695</v>
      </c>
      <c r="K4" s="4">
        <f>B8+2*B9</f>
        <v>411</v>
      </c>
      <c r="N4" s="8">
        <f>SLN(B7,0,15)</f>
        <v>93.333333333333329</v>
      </c>
      <c r="O4" s="9">
        <f>SYD(B7,0,15,3)</f>
        <v>151.66666666666666</v>
      </c>
      <c r="Q4" s="5">
        <f>SUM(K4,-B1*(K4-N4))</f>
        <v>334.76</v>
      </c>
      <c r="R4" s="6">
        <f>SUM(K4,-B1*(K4-O4))</f>
        <v>348.76</v>
      </c>
    </row>
    <row r="5" spans="1:18" x14ac:dyDescent="0.35">
      <c r="A5" s="1" t="s">
        <v>54</v>
      </c>
      <c r="B5" s="10">
        <f>B2+B4+B2*B4</f>
        <v>0.69920000000000004</v>
      </c>
      <c r="K5" s="4">
        <f>B8+3*B9</f>
        <v>440</v>
      </c>
      <c r="N5" s="8">
        <f>SLN(B7,0,15)</f>
        <v>93.333333333333329</v>
      </c>
      <c r="O5" s="9">
        <f>SYD(B7,0,15,4)</f>
        <v>140</v>
      </c>
      <c r="Q5" s="5">
        <f>SUM(K5,-B1*(K5-N5))</f>
        <v>356.8</v>
      </c>
      <c r="R5" s="6">
        <f>SUM(K5,-B1*(K5-O5))</f>
        <v>368</v>
      </c>
    </row>
    <row r="6" spans="1:18" x14ac:dyDescent="0.35">
      <c r="C6" s="25" t="s">
        <v>4</v>
      </c>
      <c r="D6" s="25"/>
      <c r="E6" s="25"/>
      <c r="F6" s="3" t="s">
        <v>0</v>
      </c>
      <c r="G6" s="11">
        <f>IRR(K1:K16,0.33)</f>
        <v>0.30815571571946099</v>
      </c>
      <c r="K6" s="4">
        <f>B8+4*B9</f>
        <v>469</v>
      </c>
      <c r="N6" s="8">
        <f>SLN(B7,0,15)</f>
        <v>93.333333333333329</v>
      </c>
      <c r="O6" s="9">
        <f>SYD(B7,0,15,5)</f>
        <v>128.33333333333334</v>
      </c>
      <c r="Q6" s="5">
        <f>SUM(K6,-B1*(K6-N6))</f>
        <v>378.84000000000003</v>
      </c>
      <c r="R6" s="6">
        <f>SUM(K6,-B1*(K6-O6))</f>
        <v>387.24</v>
      </c>
    </row>
    <row r="7" spans="1:18" x14ac:dyDescent="0.35">
      <c r="A7" s="12" t="s">
        <v>47</v>
      </c>
      <c r="B7" s="13">
        <v>1400</v>
      </c>
      <c r="C7" s="25" t="s">
        <v>5</v>
      </c>
      <c r="D7" s="25"/>
      <c r="E7" s="25"/>
      <c r="F7" s="3" t="s">
        <v>0</v>
      </c>
      <c r="G7" s="11">
        <f>IRR(Q1:Q16,0.24)</f>
        <v>0.25268883132724529</v>
      </c>
      <c r="K7" s="4">
        <f>B8+5*B9</f>
        <v>498</v>
      </c>
      <c r="N7" s="8">
        <f>SLN(B7,0,15)</f>
        <v>93.333333333333329</v>
      </c>
      <c r="O7" s="9">
        <f>SYD(B7,0,15,6)</f>
        <v>116.66666666666667</v>
      </c>
      <c r="Q7" s="5">
        <f>SUM(K7,-B1*(K7-N7))</f>
        <v>400.88</v>
      </c>
      <c r="R7" s="6">
        <f>SUM(K7,-B1*(K7-O7))</f>
        <v>406.48</v>
      </c>
    </row>
    <row r="8" spans="1:18" x14ac:dyDescent="0.35">
      <c r="A8" s="12" t="s">
        <v>48</v>
      </c>
      <c r="B8" s="13">
        <v>353</v>
      </c>
      <c r="C8" s="25" t="s">
        <v>6</v>
      </c>
      <c r="D8" s="25"/>
      <c r="E8" s="25"/>
      <c r="F8" s="3" t="s">
        <v>0</v>
      </c>
      <c r="G8" s="11">
        <f>IRR(R1:R16,0.27)</f>
        <v>0.25948941367413991</v>
      </c>
      <c r="K8" s="4">
        <f>B8+6*B9</f>
        <v>527</v>
      </c>
      <c r="N8" s="8">
        <f>SLN(B7,0,15)</f>
        <v>93.333333333333329</v>
      </c>
      <c r="O8" s="9">
        <f>SYD(B7,0,15,7)</f>
        <v>105</v>
      </c>
      <c r="Q8" s="5">
        <f>SUM(K8,-B1*(K8-N8))</f>
        <v>422.92</v>
      </c>
      <c r="R8" s="6">
        <f>SUM(K8,-B1*(K8-O8))</f>
        <v>425.72</v>
      </c>
    </row>
    <row r="9" spans="1:18" x14ac:dyDescent="0.35">
      <c r="A9" s="12" t="s">
        <v>49</v>
      </c>
      <c r="B9" s="13">
        <v>29</v>
      </c>
      <c r="K9" s="4">
        <f>B8+7*B9</f>
        <v>556</v>
      </c>
      <c r="N9" s="8">
        <f>SLN(B7,0,15)</f>
        <v>93.333333333333329</v>
      </c>
      <c r="O9" s="9">
        <f>SYD(B7,0,15,8)</f>
        <v>93.333333333333329</v>
      </c>
      <c r="Q9" s="5">
        <f>SUM(K9,-B1*(K9-N9))</f>
        <v>444.96</v>
      </c>
      <c r="R9" s="6">
        <f>SUM(K9,-B1*(K9-O9))</f>
        <v>444.96</v>
      </c>
    </row>
    <row r="10" spans="1:18" x14ac:dyDescent="0.35">
      <c r="C10" s="25" t="s">
        <v>9</v>
      </c>
      <c r="D10" s="25"/>
      <c r="E10" s="25"/>
      <c r="F10" s="3" t="s">
        <v>8</v>
      </c>
      <c r="G10" s="7">
        <f>PMT(B14,15,-G2)</f>
        <v>199.50715782772036</v>
      </c>
      <c r="K10" s="4">
        <f>B8+8*B9</f>
        <v>585</v>
      </c>
      <c r="N10" s="8">
        <f>SLN(B7,0,15)</f>
        <v>93.333333333333329</v>
      </c>
      <c r="O10" s="9">
        <f>SYD(B7,0,15,9)</f>
        <v>81.666666666666671</v>
      </c>
      <c r="Q10" s="5">
        <f>SUM(K10,-B1*(K10-N10))</f>
        <v>467</v>
      </c>
      <c r="R10" s="6">
        <f>SUM(K10,-B1*(K10-O10))</f>
        <v>464.2</v>
      </c>
    </row>
    <row r="11" spans="1:18" x14ac:dyDescent="0.35">
      <c r="C11" s="25" t="s">
        <v>46</v>
      </c>
      <c r="D11" s="25"/>
      <c r="E11" s="25"/>
      <c r="F11" s="3" t="s">
        <v>8</v>
      </c>
      <c r="G11" s="7">
        <f>PMT(B14,15,-G3)</f>
        <v>108.03410502245976</v>
      </c>
      <c r="K11" s="4">
        <f>B8+9*B9</f>
        <v>614</v>
      </c>
      <c r="N11" s="8">
        <f>SLN(B7,0,15)</f>
        <v>93.333333333333329</v>
      </c>
      <c r="O11" s="9">
        <f>SYD(B7,0,15,10)</f>
        <v>70</v>
      </c>
      <c r="Q11" s="5">
        <f>SUM(K11,-B1*(K11-N11))</f>
        <v>489.04</v>
      </c>
      <c r="R11" s="6">
        <f>SUM(K11,-B1*(K11-O11))</f>
        <v>483.44</v>
      </c>
    </row>
    <row r="12" spans="1:18" x14ac:dyDescent="0.35">
      <c r="C12" s="25" t="s">
        <v>24</v>
      </c>
      <c r="D12" s="25"/>
      <c r="E12" s="25"/>
      <c r="F12" s="3" t="s">
        <v>8</v>
      </c>
      <c r="G12" s="7">
        <f>PMT(B14,15,-G4)</f>
        <v>115.90586538815941</v>
      </c>
      <c r="K12" s="4">
        <f>B8+10*B9</f>
        <v>643</v>
      </c>
      <c r="N12" s="8">
        <f>SLN(B7,0,15)</f>
        <v>93.333333333333329</v>
      </c>
      <c r="O12" s="9">
        <f>SYD(B7,0,15,11)</f>
        <v>58.333333333333336</v>
      </c>
      <c r="Q12" s="5">
        <f>SUM(K12,-B1*(K12-N12))</f>
        <v>511.08000000000004</v>
      </c>
      <c r="R12" s="6">
        <f>SUM(K12,-B1*(K12-O12))</f>
        <v>502.68</v>
      </c>
    </row>
    <row r="13" spans="1:18" x14ac:dyDescent="0.35">
      <c r="G13" s="7"/>
      <c r="K13" s="4">
        <f>B8+11*B9</f>
        <v>672</v>
      </c>
      <c r="N13" s="8">
        <f>SLN(B7,0,15)</f>
        <v>93.333333333333329</v>
      </c>
      <c r="O13" s="9">
        <f>SYD(B7,0,15,12)</f>
        <v>46.666666666666664</v>
      </c>
      <c r="Q13" s="5">
        <f>SUM(K13,-B1*(K13-N13))</f>
        <v>533.12</v>
      </c>
      <c r="R13" s="6">
        <f>SUM(K13,-B1*(K13-O13))</f>
        <v>521.91999999999996</v>
      </c>
    </row>
    <row r="14" spans="1:18" x14ac:dyDescent="0.35">
      <c r="A14" s="14" t="s">
        <v>68</v>
      </c>
      <c r="B14" s="15">
        <f>B2</f>
        <v>0.18</v>
      </c>
      <c r="F14" s="7"/>
      <c r="K14" s="4">
        <f>B8+12*B9</f>
        <v>701</v>
      </c>
      <c r="N14" s="8">
        <f>SLN(B7,0,15)</f>
        <v>93.333333333333329</v>
      </c>
      <c r="O14" s="9">
        <f>SYD(B7,0,15,13)</f>
        <v>35</v>
      </c>
      <c r="Q14" s="5">
        <f>SUM(K14,-B1*(K14-N14))</f>
        <v>555.16000000000008</v>
      </c>
      <c r="R14" s="6">
        <f>SUM(K14,-B1*(K14-O14))</f>
        <v>541.16</v>
      </c>
    </row>
    <row r="15" spans="1:18" ht="15.5" x14ac:dyDescent="0.35">
      <c r="C15" s="26" t="s">
        <v>39</v>
      </c>
      <c r="D15" s="26"/>
      <c r="E15" s="26"/>
      <c r="F15" s="3" t="s">
        <v>38</v>
      </c>
      <c r="G15" s="7">
        <f>FV(B14,15,-G10)</f>
        <v>12163.006952541464</v>
      </c>
      <c r="K15" s="4">
        <f>B8+13*B9</f>
        <v>730</v>
      </c>
      <c r="N15" s="8">
        <f>SLN(B7,0,15)</f>
        <v>93.333333333333329</v>
      </c>
      <c r="O15" s="9">
        <f>SYD(B7,0,15,14)</f>
        <v>23.333333333333332</v>
      </c>
      <c r="Q15" s="5">
        <f>SUM(K15,-B1*(K15-N15))</f>
        <v>577.20000000000005</v>
      </c>
      <c r="R15" s="6">
        <f>SUM(K15,-B1*(K15-O15))</f>
        <v>560.4</v>
      </c>
    </row>
    <row r="16" spans="1:18" ht="15.5" x14ac:dyDescent="0.35">
      <c r="C16" s="26" t="s">
        <v>40</v>
      </c>
      <c r="D16" s="26"/>
      <c r="E16" s="26"/>
      <c r="F16" s="3" t="s">
        <v>38</v>
      </c>
      <c r="G16" s="7">
        <f>FV(B14,15,-G11)</f>
        <v>6586.3279533783088</v>
      </c>
      <c r="K16" s="4">
        <f>B8+14*B9</f>
        <v>759</v>
      </c>
      <c r="N16" s="8">
        <f>SLN(B7,0,15)</f>
        <v>93.333333333333329</v>
      </c>
      <c r="O16" s="9">
        <f>SYD(B7,0,15,15)</f>
        <v>11.666666666666666</v>
      </c>
      <c r="Q16" s="5">
        <f>SUM(K16,-B1*(K16-N16))</f>
        <v>599.24</v>
      </c>
      <c r="R16" s="6">
        <f>SUM(K16,-B1*(K16-O16))</f>
        <v>579.64</v>
      </c>
    </row>
    <row r="17" spans="3:19" ht="15.5" x14ac:dyDescent="0.35">
      <c r="C17" s="26" t="s">
        <v>41</v>
      </c>
      <c r="D17" s="26"/>
      <c r="E17" s="26"/>
      <c r="F17" s="7" t="s">
        <v>38</v>
      </c>
      <c r="G17" s="7">
        <f>FV(B14,15,-G12)</f>
        <v>7066.2319182246383</v>
      </c>
      <c r="K17" s="4" t="s">
        <v>1</v>
      </c>
      <c r="N17" s="5" t="s">
        <v>43</v>
      </c>
      <c r="O17" s="6" t="s">
        <v>44</v>
      </c>
      <c r="Q17" s="5" t="s">
        <v>2</v>
      </c>
      <c r="R17" s="6" t="s">
        <v>3</v>
      </c>
    </row>
    <row r="19" spans="3:19" x14ac:dyDescent="0.35">
      <c r="K19" s="16"/>
    </row>
    <row r="20" spans="3:19" x14ac:dyDescent="0.35">
      <c r="K20" s="16"/>
    </row>
    <row r="21" spans="3:19" ht="18.5" x14ac:dyDescent="0.35">
      <c r="D21" s="17"/>
      <c r="E21" s="23" t="s">
        <v>33</v>
      </c>
      <c r="F21" s="23"/>
      <c r="G21" s="23"/>
      <c r="H21" s="23"/>
      <c r="I21" s="23"/>
      <c r="J21" s="23"/>
      <c r="K21" s="16"/>
      <c r="L21" s="24" t="s">
        <v>25</v>
      </c>
      <c r="M21" s="24"/>
      <c r="N21" s="24"/>
      <c r="O21" s="24"/>
      <c r="P21" s="24"/>
      <c r="Q21" s="24"/>
      <c r="R21" s="24"/>
    </row>
    <row r="22" spans="3:19" x14ac:dyDescent="0.35">
      <c r="D22" s="17" t="s">
        <v>26</v>
      </c>
      <c r="E22" s="4">
        <f>SUM(K1:K2)</f>
        <v>-1047</v>
      </c>
      <c r="F22" s="18">
        <f>NPV(B14,K2)+K1</f>
        <v>-1100.8474576271187</v>
      </c>
      <c r="G22" s="4">
        <f>SUM(Q1:Q2)</f>
        <v>-1109.32</v>
      </c>
      <c r="H22" s="18">
        <f>NPV(B14,Q2)+Q1</f>
        <v>-1153.6610169491526</v>
      </c>
      <c r="I22" s="4">
        <f>SUM(R1:R2)</f>
        <v>-1089.72</v>
      </c>
      <c r="J22" s="18">
        <f>NPV(B14,R2)+R1</f>
        <v>-1137.0508474576272</v>
      </c>
      <c r="K22" s="16"/>
      <c r="L22" s="17" t="s">
        <v>13</v>
      </c>
      <c r="N22" s="7">
        <f>NPV(0.1,K2:K16)+K1</f>
        <v>2449.3537078004133</v>
      </c>
      <c r="P22" s="7">
        <f>NPV(0.1,Q2:Q16)+Q1</f>
        <v>1695.884998869622</v>
      </c>
      <c r="Q22" s="7"/>
      <c r="R22" s="7">
        <f>NPV(0.1,R2:R16)+R1</f>
        <v>1732.5385917516796</v>
      </c>
      <c r="S22" s="7"/>
    </row>
    <row r="23" spans="3:19" x14ac:dyDescent="0.35">
      <c r="D23" s="17" t="s">
        <v>27</v>
      </c>
      <c r="E23" s="4">
        <f>SUM(K1:K3)</f>
        <v>-665</v>
      </c>
      <c r="F23" s="18">
        <f>NPV(B14,K2:K3)+K1</f>
        <v>-826.50100545820158</v>
      </c>
      <c r="G23" s="4">
        <f>SUM(Q1:Q3)</f>
        <v>-796.59999999999991</v>
      </c>
      <c r="H23" s="18">
        <f>NPV(B14,Q2:Q3)+Q1</f>
        <v>-929.07038207411665</v>
      </c>
      <c r="I23" s="4">
        <f>SUM(R1:R3)</f>
        <v>-760.2</v>
      </c>
      <c r="J23" s="18">
        <f>NPV(B14,R2:R3)+R1</f>
        <v>-900.39471416259698</v>
      </c>
      <c r="K23" s="16"/>
      <c r="L23" s="17" t="s">
        <v>14</v>
      </c>
      <c r="N23" s="7">
        <f>NPV(0.12,K2:K16)+K1</f>
        <v>1987.9201359857975</v>
      </c>
      <c r="P23" s="7">
        <f>NPV(0.12,Q2:Q16)+Q1</f>
        <v>1327.3826679132217</v>
      </c>
      <c r="Q23" s="7"/>
      <c r="R23" s="7">
        <f>NPV(0.12,R2:R16)+R1</f>
        <v>1365.8991319283559</v>
      </c>
      <c r="S23" s="7"/>
    </row>
    <row r="24" spans="3:19" x14ac:dyDescent="0.35">
      <c r="D24" s="17" t="s">
        <v>28</v>
      </c>
      <c r="E24" s="4">
        <f>SUM(K1:K4)</f>
        <v>-254</v>
      </c>
      <c r="F24" s="18">
        <f>NPV(B14,K2:K4)+K1</f>
        <v>-576.35371678701313</v>
      </c>
      <c r="G24" s="4">
        <f>SUM(Q1:Q4)</f>
        <v>-461.83999999999992</v>
      </c>
      <c r="H24" s="18">
        <f>NPV(B14,Q2:Q4)+Q1</f>
        <v>-725.3251111359973</v>
      </c>
      <c r="I24" s="4">
        <f>SUM(R1:R4)</f>
        <v>-411.44000000000005</v>
      </c>
      <c r="J24" s="18">
        <f>NPV(B14,R2:R4)+R1</f>
        <v>-688.12861100696762</v>
      </c>
      <c r="K24" s="16"/>
      <c r="L24" s="17" t="s">
        <v>15</v>
      </c>
      <c r="N24" s="7">
        <f>NPV(0.15,K2:K16)+K1</f>
        <v>1438.2191901233123</v>
      </c>
      <c r="P24" s="7">
        <f>NPV(0.15,Q2:Q16)+Q1</f>
        <v>888.02767470305344</v>
      </c>
      <c r="Q24" s="7"/>
      <c r="R24" s="7">
        <f>NPV(0.15,R2:R16)+R1</f>
        <v>927.89567598593658</v>
      </c>
      <c r="S24" s="7"/>
    </row>
    <row r="25" spans="3:19" x14ac:dyDescent="0.35">
      <c r="D25" s="17" t="s">
        <v>29</v>
      </c>
      <c r="E25" s="4">
        <f>SUM(K1:K5)</f>
        <v>186</v>
      </c>
      <c r="F25" s="18">
        <f>NPV(B14,K2:K5)+K1</f>
        <v>-349.40661172015893</v>
      </c>
      <c r="G25" s="4">
        <f>SUM(Q1:Q5)</f>
        <v>-105.03999999999991</v>
      </c>
      <c r="H25" s="18">
        <f>NPV(B14,Q2:Q5)+Q1</f>
        <v>-541.29164048178461</v>
      </c>
      <c r="I25" s="4">
        <f>SUM(R1:R5)</f>
        <v>-43.440000000000055</v>
      </c>
      <c r="J25" s="18">
        <f>NPV(B14,R2:R5)+R1</f>
        <v>-498.31830495105328</v>
      </c>
      <c r="K25" s="16"/>
      <c r="L25" s="17" t="s">
        <v>16</v>
      </c>
      <c r="N25" s="7">
        <f>NPV(0.18,K2:K16)+K1</f>
        <v>1015.8061676531684</v>
      </c>
      <c r="P25" s="7">
        <f>NPV(0.18,Q2:Q16)+Q1</f>
        <v>550.06402473774688</v>
      </c>
      <c r="Q25" s="7"/>
      <c r="R25" s="7">
        <f>NPV(0.18,R2:R16)+R1</f>
        <v>590.14370316547729</v>
      </c>
      <c r="S25" s="7"/>
    </row>
    <row r="26" spans="3:19" x14ac:dyDescent="0.35">
      <c r="D26" s="17" t="s">
        <v>30</v>
      </c>
      <c r="E26" s="4">
        <f>SUM(K1:K6)</f>
        <v>655</v>
      </c>
      <c r="F26" s="18">
        <f>NPV(B14,K2:K6)+K1</f>
        <v>-144.40238930807391</v>
      </c>
      <c r="G26" s="4">
        <f>SUM(Q1:Q6)</f>
        <v>273.80000000000013</v>
      </c>
      <c r="H26" s="18">
        <f>NPV(B14,Q2:Q6)+Q1</f>
        <v>-375.69718500503768</v>
      </c>
      <c r="I26" s="4">
        <f>SUM(R1:R6)</f>
        <v>343.79999999999995</v>
      </c>
      <c r="J26" s="18">
        <f>NPV(B14,R2:R6)+R1</f>
        <v>-329.05213205797054</v>
      </c>
      <c r="K26" s="16"/>
      <c r="L26" s="17" t="s">
        <v>17</v>
      </c>
      <c r="N26" s="7">
        <f>NPV(0.21,K2:K16)+K1</f>
        <v>685.81933228999605</v>
      </c>
      <c r="P26" s="7">
        <f>NPV(0.21,Q2:Q16)+Q1</f>
        <v>285.77644685493942</v>
      </c>
      <c r="Q26" s="7"/>
      <c r="R26" s="7">
        <f>NPV(0.21,R2:R16)+R1</f>
        <v>325.36926735317024</v>
      </c>
      <c r="S26" s="7"/>
    </row>
    <row r="27" spans="3:19" x14ac:dyDescent="0.35">
      <c r="D27" s="17" t="s">
        <v>31</v>
      </c>
      <c r="E27" s="4">
        <f>SUM(K1:K7)</f>
        <v>1153</v>
      </c>
      <c r="F27" s="18">
        <f>NPV(B14,K2:K7)+K1</f>
        <v>40.072517202746894</v>
      </c>
      <c r="G27" s="4">
        <f>SUM(Q1:Q7)</f>
        <v>674.68000000000006</v>
      </c>
      <c r="H27" s="18">
        <f>NPV(B14,Q2:Q7)+Q1</f>
        <v>-227.19858957921883</v>
      </c>
      <c r="I27" s="4">
        <f>SUM(R1:R7)</f>
        <v>750.28</v>
      </c>
      <c r="J27" s="18">
        <f>NPV(B14,R2:R7)+R1</f>
        <v>-178.4791200127529</v>
      </c>
      <c r="K27" s="16"/>
      <c r="L27" s="17" t="s">
        <v>22</v>
      </c>
      <c r="N27" s="7">
        <f>NPV(0.24,K2:K16)+K1</f>
        <v>424.00944972925299</v>
      </c>
      <c r="P27" s="7">
        <f>NPV(0.24,Q2:Q16)+Q1</f>
        <v>75.876169515415313</v>
      </c>
      <c r="Q27" s="7"/>
      <c r="R27" s="7">
        <f>NPV(0.24,R2:R16)+R1</f>
        <v>114.56541735611586</v>
      </c>
      <c r="S27" s="7"/>
    </row>
    <row r="28" spans="3:19" x14ac:dyDescent="0.35">
      <c r="D28" s="17" t="s">
        <v>32</v>
      </c>
      <c r="E28" s="4">
        <f>SUM(K1:K8)</f>
        <v>1680</v>
      </c>
      <c r="F28" s="18">
        <f>NPV(B14,K2:K8)+K1</f>
        <v>205.51100970019866</v>
      </c>
      <c r="G28" s="4">
        <f>SUM(Q1:Q8)</f>
        <v>1097.6000000000001</v>
      </c>
      <c r="H28" s="18">
        <f>NPV(B14,Q2:Q8)+Q1</f>
        <v>-94.433414537430735</v>
      </c>
      <c r="I28" s="4">
        <f>SUM(R1:R8)</f>
        <v>1176</v>
      </c>
      <c r="J28" s="18">
        <f>NPV(B14,R2:R8)+R1</f>
        <v>-44.83495487799928</v>
      </c>
      <c r="K28" s="16"/>
      <c r="L28" s="17" t="s">
        <v>18</v>
      </c>
      <c r="N28" s="7">
        <f>NPV(0.27,K2:K16)+K1</f>
        <v>213.25216652194672</v>
      </c>
      <c r="P28" s="7">
        <f>NPV(0.27,Q2:Q16)+Q1</f>
        <v>-93.265923334432955</v>
      </c>
      <c r="Q28" s="7"/>
      <c r="R28" s="7">
        <f>NPV(0.27,R2:R16)+R1</f>
        <v>-55.716515530768447</v>
      </c>
      <c r="S28" s="7"/>
    </row>
    <row r="29" spans="3:19" x14ac:dyDescent="0.35">
      <c r="D29" s="17" t="s">
        <v>50</v>
      </c>
      <c r="E29" s="4">
        <f>SUM(K1:K9)</f>
        <v>2236</v>
      </c>
      <c r="F29" s="18">
        <f>NPV(B14,K2:K9)+K1</f>
        <v>353.42822873435944</v>
      </c>
      <c r="G29" s="4">
        <f>SUM(Q1:Q9)</f>
        <v>1542.5600000000002</v>
      </c>
      <c r="H29" s="18">
        <f>NPV(B14,Q2:Q9)+Q1</f>
        <v>23.942926796094753</v>
      </c>
      <c r="I29" s="4">
        <f>SUM(R1:R9)</f>
        <v>1620.96</v>
      </c>
      <c r="J29" s="18">
        <f>NPV(B14,R2:R9)+R1</f>
        <v>73.541386455526208</v>
      </c>
      <c r="K29" s="16"/>
      <c r="L29" s="17" t="s">
        <v>19</v>
      </c>
      <c r="N29" s="7">
        <f>NPV(0.3,K2:K16)+K1</f>
        <v>41.277529288752021</v>
      </c>
      <c r="P29" s="7">
        <f>NPV(0.3,Q2:Q16)+Q1</f>
        <v>-231.42114632826383</v>
      </c>
      <c r="Q29" s="7"/>
      <c r="R29" s="7">
        <f>NPV(0.3,R2:R16)+R1</f>
        <v>-195.13238249566712</v>
      </c>
      <c r="S29" s="7"/>
    </row>
    <row r="30" spans="3:19" x14ac:dyDescent="0.35">
      <c r="D30" s="17" t="s">
        <v>55</v>
      </c>
      <c r="E30" s="4">
        <f>SUM(K1:K10)</f>
        <v>2821</v>
      </c>
      <c r="F30" s="18">
        <f>NPV(B14,K2:K10)+K1</f>
        <v>485.32003024482128</v>
      </c>
      <c r="G30" s="4">
        <f>SUM(Q1:Q10)</f>
        <v>2009.5600000000002</v>
      </c>
      <c r="H30" s="18">
        <f>NPV(B14,Q2:Q10)+Q1</f>
        <v>129.23091193350615</v>
      </c>
      <c r="I30" s="4">
        <f>SUM(R1:R10)</f>
        <v>2085.16</v>
      </c>
      <c r="J30" s="18">
        <f>NPV(B14,R2:R10)+R1</f>
        <v>178.19809459425528</v>
      </c>
      <c r="K30" s="16"/>
      <c r="L30" s="17" t="s">
        <v>20</v>
      </c>
      <c r="N30" s="7">
        <f>NPV(0.33,K2:K16)+K1</f>
        <v>-100.82974987439206</v>
      </c>
      <c r="P30" s="7">
        <f>NPV(0.33,Q2:Q16)+Q1</f>
        <v>-345.69362371256261</v>
      </c>
      <c r="Q30" s="7"/>
      <c r="R30" s="7">
        <f>NPV(0.33,R2:R16)+R1</f>
        <v>-310.71280164392238</v>
      </c>
      <c r="S30" s="7"/>
    </row>
    <row r="31" spans="3:19" x14ac:dyDescent="0.35">
      <c r="D31" s="17" t="s">
        <v>56</v>
      </c>
      <c r="E31" s="4">
        <f>SUM(K1:K11)</f>
        <v>3435</v>
      </c>
      <c r="F31" s="18">
        <f>NPV(B14,K2:K11)+K1</f>
        <v>602.63361292977538</v>
      </c>
      <c r="G31" s="4">
        <f>SUM(Q1:Q11)</f>
        <v>2498.6000000000004</v>
      </c>
      <c r="H31" s="18">
        <f>NPV(B14,Q2:Q11)+Q1</f>
        <v>222.66907883293607</v>
      </c>
      <c r="I31" s="4">
        <f>SUM(R1:R11)</f>
        <v>2568.6</v>
      </c>
      <c r="J31" s="18">
        <f>NPV(B14,R2:R11)+R1</f>
        <v>270.56630047896897</v>
      </c>
      <c r="K31" s="16"/>
      <c r="L31" s="17" t="s">
        <v>21</v>
      </c>
      <c r="N31" s="7">
        <f>NPV(0.36,K2:K16)+K1</f>
        <v>-219.63485633979099</v>
      </c>
      <c r="P31" s="7">
        <f>NPV(0.36,Q2:Q16)+Q1</f>
        <v>-441.31808849485606</v>
      </c>
      <c r="Q31" s="7"/>
      <c r="R31" s="7">
        <f>NPV(0.36,R2:R16)+R1</f>
        <v>-407.64624162497171</v>
      </c>
    </row>
    <row r="32" spans="3:19" x14ac:dyDescent="0.35">
      <c r="D32" s="17" t="s">
        <v>57</v>
      </c>
      <c r="E32" s="4">
        <f>SUM(K1:K12)</f>
        <v>4078</v>
      </c>
      <c r="F32" s="18">
        <f>NPV(B14,K2:K12)+K1</f>
        <v>706.74755549371503</v>
      </c>
      <c r="G32" s="4">
        <f>SUM(Q1:Q12)</f>
        <v>3009.6800000000003</v>
      </c>
      <c r="H32" s="18">
        <f>NPV(B14,Q2:Q12)+Q1</f>
        <v>305.42266167209345</v>
      </c>
      <c r="I32" s="4">
        <f>SUM(R1:R12)</f>
        <v>3071.2799999999997</v>
      </c>
      <c r="J32" s="18">
        <f>NPV(B14,R2:R12)+R1</f>
        <v>351.95976338416517</v>
      </c>
      <c r="K32" s="16"/>
      <c r="L32" s="17" t="s">
        <v>62</v>
      </c>
      <c r="N32" s="7">
        <f>NPV(0.39,K2:K16)+K1</f>
        <v>-320.03486279600475</v>
      </c>
      <c r="P32" s="7">
        <f>NPV(0.39,Q2:Q16)+Q1</f>
        <v>-522.20171147599194</v>
      </c>
      <c r="R32" s="7">
        <f>NPV(0.39,R2:R16)+R1</f>
        <v>-489.81136247142899</v>
      </c>
    </row>
    <row r="33" spans="3:18" x14ac:dyDescent="0.35">
      <c r="D33" s="17" t="s">
        <v>58</v>
      </c>
      <c r="E33" s="4">
        <f>SUM(K1:K13)</f>
        <v>4750</v>
      </c>
      <c r="F33" s="18">
        <f>NPV(B14,K2:K13)+K1</f>
        <v>798.95907644024101</v>
      </c>
      <c r="G33" s="4">
        <f>SUM(Q1:Q13)</f>
        <v>3542.8</v>
      </c>
      <c r="H33" s="18">
        <f>NPV(B14,Q2:Q13)+Q1</f>
        <v>378.57713495633743</v>
      </c>
      <c r="I33" s="4">
        <f>SUM(R1:R13)</f>
        <v>3593.2</v>
      </c>
      <c r="J33" s="18">
        <f>NPV(B14,R2:R13)+R1</f>
        <v>423.57737798596713</v>
      </c>
      <c r="K33" s="16"/>
      <c r="L33" s="17" t="s">
        <v>63</v>
      </c>
      <c r="N33" s="7">
        <f>NPV(0.42,K2:K16)+K1</f>
        <v>-405.72775891695903</v>
      </c>
      <c r="P33" s="7">
        <f>NPV(0.42,Q2:Q16)+Q1</f>
        <v>-591.29688707550724</v>
      </c>
      <c r="Q33" s="7"/>
      <c r="R33" s="7">
        <f>NPV(0.42,R2:R16)+R1</f>
        <v>-560.14363537849067</v>
      </c>
    </row>
    <row r="34" spans="3:18" x14ac:dyDescent="0.35">
      <c r="D34" s="17" t="s">
        <v>59</v>
      </c>
      <c r="E34" s="4">
        <f>SUM(K1:K14)</f>
        <v>5451</v>
      </c>
      <c r="F34" s="18">
        <f>NPV(B14,K2:K14)+K1</f>
        <v>880.47677743841905</v>
      </c>
      <c r="G34" s="4">
        <f>SUM(Q1:Q14)</f>
        <v>4097.96</v>
      </c>
      <c r="H34" s="18">
        <f>NPV(B14,Q2:Q14)+Q1</f>
        <v>443.13543293943076</v>
      </c>
      <c r="I34" s="4">
        <f>SUM(R1:R14)</f>
        <v>4134.3599999999997</v>
      </c>
      <c r="J34" s="18">
        <f>NPV(B14,R2:R14)+R1</f>
        <v>486.50764770376122</v>
      </c>
      <c r="K34" s="16"/>
      <c r="L34" s="17" t="s">
        <v>64</v>
      </c>
      <c r="N34" s="7">
        <f>NPV(0.45,K2:K16)+K1</f>
        <v>-479.53906786257039</v>
      </c>
      <c r="P34" s="7">
        <f>NPV(0.45,Q2:Q16)+Q1</f>
        <v>-650.86093715442405</v>
      </c>
      <c r="R34" s="7">
        <f>NPV(0.45,R2:R16)+R1</f>
        <v>-620.8910122480894</v>
      </c>
    </row>
    <row r="35" spans="3:18" x14ac:dyDescent="0.35">
      <c r="D35" s="17" t="s">
        <v>60</v>
      </c>
      <c r="E35" s="4">
        <f>SUM(K1:K15)</f>
        <v>6181</v>
      </c>
      <c r="F35" s="18">
        <f>NPV(B14,K2:K15)+K1</f>
        <v>952.41749376215694</v>
      </c>
      <c r="G35" s="4">
        <f>SUM(Q1:Q15)</f>
        <v>4675.16</v>
      </c>
      <c r="H35" s="18">
        <f>NPV(B14,Q2:Q15)+Q1</f>
        <v>500.01787329841932</v>
      </c>
      <c r="I35" s="4">
        <f>SUM(R1:R15)</f>
        <v>4694.7599999999993</v>
      </c>
      <c r="J35" s="18">
        <f>NPV(B14,R2:R15)+R1</f>
        <v>541.73446609803887</v>
      </c>
      <c r="K35" s="16"/>
      <c r="L35" s="17" t="s">
        <v>65</v>
      </c>
      <c r="N35" s="7">
        <f>NPV(0.48,K2:K16)+K1</f>
        <v>-543.65204014831988</v>
      </c>
      <c r="P35" s="7">
        <f>NPV(0.48,Q2:Q16)+Q1</f>
        <v>-702.63922484646912</v>
      </c>
      <c r="R35" s="7">
        <f>NPV(0.48,R2:R16)+R1</f>
        <v>-673.79438532164363</v>
      </c>
    </row>
    <row r="36" spans="3:18" x14ac:dyDescent="0.35">
      <c r="D36" s="17" t="s">
        <v>61</v>
      </c>
      <c r="E36" s="4">
        <f>SUM(K1:K16)</f>
        <v>6940</v>
      </c>
      <c r="F36" s="18">
        <f>NPV(B14,K2:K16)+K1</f>
        <v>1015.8061676531684</v>
      </c>
      <c r="G36" s="4">
        <f>SUM(Q1:Q16)</f>
        <v>5274.4</v>
      </c>
      <c r="H36" s="18">
        <f>NPV(B14,Q2:Q16)+Q1</f>
        <v>550.06402473774688</v>
      </c>
      <c r="I36" s="4">
        <f>SUM(R1:R16)</f>
        <v>5274.4</v>
      </c>
      <c r="J36" s="18">
        <f>NPV(B14,R2:R16)+R1</f>
        <v>590.14370316547729</v>
      </c>
      <c r="K36" s="16"/>
      <c r="L36" s="17" t="s">
        <v>66</v>
      </c>
      <c r="N36" s="7">
        <f>NPV(0.51,K2:K16)+K1</f>
        <v>-599.77177953746934</v>
      </c>
      <c r="P36" s="7">
        <f>NPV(0.51,Q2:Q16)+Q1</f>
        <v>-747.99577081423058</v>
      </c>
      <c r="R36" s="7">
        <f>NPV(0.51,R2:R16)+R1</f>
        <v>-720.21644990785092</v>
      </c>
    </row>
    <row r="37" spans="3:18" x14ac:dyDescent="0.35">
      <c r="K37" s="16"/>
      <c r="L37" s="17" t="s">
        <v>67</v>
      </c>
      <c r="N37" s="7">
        <f>NPV(0.54,K2:K16)+K1</f>
        <v>-649.24357566922856</v>
      </c>
      <c r="P37" s="7">
        <f>NPV(0.54,Q2:Q16)+Q1</f>
        <v>-788.00746876113271</v>
      </c>
      <c r="R37" s="7">
        <f>NPV(0.54,R2:R16)+R1</f>
        <v>-761.23475842238247</v>
      </c>
    </row>
    <row r="38" spans="3:18" x14ac:dyDescent="0.35">
      <c r="K38" s="16"/>
    </row>
    <row r="39" spans="3:18" x14ac:dyDescent="0.35">
      <c r="C39" s="19"/>
      <c r="D39" s="19" t="s">
        <v>42</v>
      </c>
      <c r="E39" s="19">
        <f>3+(-E24)/(E25-E24)</f>
        <v>3.5772727272727272</v>
      </c>
      <c r="F39" s="20">
        <f xml:space="preserve"> 5+(-F26)/(F27-F26)</f>
        <v>5.7827752404883519</v>
      </c>
      <c r="G39" s="19">
        <f>4+(-G25)/(G26-G25)</f>
        <v>4.2772674479991553</v>
      </c>
      <c r="H39" s="19">
        <f>7+(-H28)/(H29-H28)</f>
        <v>7.7977389187199533</v>
      </c>
      <c r="I39" s="19">
        <f>4+(-I25)/(I26-I25)</f>
        <v>4.1121784939572361</v>
      </c>
      <c r="J39" s="19">
        <f>7+(-J28)/(J29-J28)</f>
        <v>7.3787492870021785</v>
      </c>
      <c r="K39" s="16"/>
      <c r="L39" s="19"/>
      <c r="M39" s="19"/>
      <c r="N39" s="19" t="s">
        <v>10</v>
      </c>
      <c r="O39" s="19"/>
      <c r="P39" s="19" t="s">
        <v>11</v>
      </c>
      <c r="Q39" s="21"/>
      <c r="R39" s="19" t="s">
        <v>12</v>
      </c>
    </row>
    <row r="40" spans="3:18" x14ac:dyDescent="0.35">
      <c r="K40" s="16"/>
    </row>
    <row r="41" spans="3:18" x14ac:dyDescent="0.35">
      <c r="K41" s="16"/>
    </row>
  </sheetData>
  <mergeCells count="16">
    <mergeCell ref="M1:P1"/>
    <mergeCell ref="E21:J21"/>
    <mergeCell ref="L21:R21"/>
    <mergeCell ref="C2:E2"/>
    <mergeCell ref="C3:E3"/>
    <mergeCell ref="C4:E4"/>
    <mergeCell ref="C6:E6"/>
    <mergeCell ref="C7:E7"/>
    <mergeCell ref="C8:E8"/>
    <mergeCell ref="C10:E10"/>
    <mergeCell ref="C11:E11"/>
    <mergeCell ref="C12:E12"/>
    <mergeCell ref="C15:E15"/>
    <mergeCell ref="C16:E16"/>
    <mergeCell ref="C17:E17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ZahraIranpour</cp:lastModifiedBy>
  <dcterms:created xsi:type="dcterms:W3CDTF">2023-01-21T05:49:18Z</dcterms:created>
  <dcterms:modified xsi:type="dcterms:W3CDTF">2023-01-27T00:27:05Z</dcterms:modified>
</cp:coreProperties>
</file>